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66925"/>
  <mc:AlternateContent xmlns:mc="http://schemas.openxmlformats.org/markup-compatibility/2006">
    <mc:Choice Requires="x15">
      <x15ac:absPath xmlns:x15ac="http://schemas.microsoft.com/office/spreadsheetml/2010/11/ac" url="C:\Users\angela stewart\Town of Cobourg\"/>
    </mc:Choice>
  </mc:AlternateContent>
  <xr:revisionPtr revIDLastSave="0" documentId="8_{B7C1A202-C49B-4B53-92CC-3355B73E9923}" xr6:coauthVersionLast="45" xr6:coauthVersionMax="45" xr10:uidLastSave="{00000000-0000-0000-0000-000000000000}"/>
  <bookViews>
    <workbookView xWindow="-28920" yWindow="855" windowWidth="29040" windowHeight="15840" firstSheet="2" activeTab="3" xr2:uid="{00000000-000D-0000-FFFF-FFFF00000000}"/>
  </bookViews>
  <sheets>
    <sheet name="Instructions" sheetId="8" r:id="rId1"/>
    <sheet name="Eligible and Ineligible Costs" sheetId="9" r:id="rId2"/>
    <sheet name="Environmental Benefits" sheetId="11" r:id="rId3"/>
    <sheet name="Budget - Work Plan" sheetId="10" r:id="rId4"/>
    <sheet name=" Sources of Funding " sheetId="6" r:id="rId5"/>
    <sheet name="MilestoneSummary" sheetId="7" r:id="rId6"/>
    <sheet name="Environmental Benefits - Post" sheetId="1" r:id="rId7"/>
    <sheet name="OperatingBudget" sheetId="4" r:id="rId8"/>
    <sheet name="CapitalBudget" sheetId="5" r:id="rId9"/>
    <sheet name="Payment &amp; reporting table" sheetId="12" state="hidden" r:id="rId10"/>
    <sheet name="Expense Claim" sheetId="13" state="hidden" r:id="rId11"/>
    <sheet name="Calculations" sheetId="3" state="hidden" r:id="rId12"/>
    <sheet name="Calculations2" sheetId="14" state="hidden" r:id="rId13"/>
    <sheet name="Data" sheetId="2" state="hidden" r:id="rId14"/>
  </sheets>
  <externalReferences>
    <externalReference r:id="rId15"/>
    <externalReference r:id="rId16"/>
  </externalReferences>
  <definedNames>
    <definedName name="Fuel_Switch">Data!$F$85</definedName>
    <definedName name="Fuel_Switch_On" localSheetId="2">'Environmental Benefits'!$F$40</definedName>
    <definedName name="Fuel_Switch_On">'Environmental Benefits - Post'!$F$40</definedName>
    <definedName name="GJ_to_kWh">Data!$H$53</definedName>
    <definedName name="Jurisdiction" localSheetId="11">'Environmental Benefits - Post'!$G$12</definedName>
    <definedName name="Jurisdiction" localSheetId="12">'Environmental Benefits - Post'!$G$12</definedName>
    <definedName name="Jurisdiction" localSheetId="2">'Environmental Benefits'!$G$12</definedName>
    <definedName name="Jurisdiction">'Environmental Benefits - Post'!$G$12</definedName>
    <definedName name="Protection">'[1]1. Budget - Pilot Project'!$E$92</definedName>
    <definedName name="SourcesOfFunding" localSheetId="12">#REF!</definedName>
    <definedName name="SourcesOfFunding" localSheetId="1">#REF!</definedName>
    <definedName name="SourcesOfFunding" localSheetId="2">#REF!</definedName>
    <definedName name="SourcesOfFunding" localSheetId="0">#REF!</definedName>
    <definedName name="SourcesOfFunding">#REF!</definedName>
    <definedName name="Total_Homes" localSheetId="2">'Environmental Benefits'!$E$27</definedName>
    <definedName name="Total_Homes">'Environmental Benefits - Post'!$E$27</definedName>
    <definedName name="WorkplanBudget" localSheetId="12">#REF!</definedName>
    <definedName name="WorkplanBudget" localSheetId="1">#REF!</definedName>
    <definedName name="WorkplanBudget" localSheetId="2">#REF!</definedName>
    <definedName name="WorkplanBudget" localSheetId="0">#REF!</definedName>
    <definedName name="WorkplanBudget">#REF!</definedName>
    <definedName name="Z_767090F5_6A5A_444B_AF61_0A9881063357_.wvu.Cols" localSheetId="3" hidden="1">'Budget - Work Plan'!$H:$H</definedName>
    <definedName name="Z_767090F5_6A5A_444B_AF61_0A9881063357_.wvu.Rows" localSheetId="3" hidden="1">'Budget - Work Plan'!$93:$121</definedName>
    <definedName name="Z_E74A9BBE_4701_44C8_8A8C_A3EE51EA3E5F_.wvu.Cols" localSheetId="3" hidden="1">'Budget - Work Plan'!$H:$H</definedName>
    <definedName name="Z_E74A9BBE_4701_44C8_8A8C_A3EE51EA3E5F_.wvu.Rows" localSheetId="3" hidden="1">'Budget - Work Plan'!$93:$121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7" l="1"/>
  <c r="D6" i="7"/>
  <c r="D5" i="7"/>
  <c r="D4" i="7"/>
  <c r="G50" i="10"/>
  <c r="G51" i="10"/>
  <c r="G52" i="10"/>
  <c r="G53" i="10"/>
  <c r="G54" i="10"/>
  <c r="G55" i="10"/>
  <c r="G56" i="10"/>
  <c r="G57" i="10"/>
  <c r="G58" i="10"/>
  <c r="G59" i="10"/>
  <c r="G60" i="10"/>
  <c r="G61" i="10"/>
  <c r="G62" i="10"/>
  <c r="G63" i="10"/>
  <c r="G64" i="10"/>
  <c r="G65" i="10"/>
  <c r="G30" i="10"/>
  <c r="F67" i="10" l="1"/>
  <c r="E67" i="10"/>
  <c r="F120" i="4"/>
  <c r="E120" i="4"/>
  <c r="F8" i="5" l="1"/>
  <c r="E8" i="5"/>
  <c r="D21" i="14" l="1"/>
  <c r="D20" i="14"/>
  <c r="D9" i="14"/>
  <c r="D8" i="14"/>
  <c r="G21" i="14"/>
  <c r="E18" i="14"/>
  <c r="D18" i="14" s="1"/>
  <c r="E17" i="14"/>
  <c r="D17" i="14" s="1"/>
  <c r="C16" i="14"/>
  <c r="C15" i="14"/>
  <c r="G15" i="14" s="1"/>
  <c r="D14" i="14"/>
  <c r="C14" i="14"/>
  <c r="G14" i="14" s="1"/>
  <c r="C13" i="14"/>
  <c r="D12" i="14"/>
  <c r="C12" i="14"/>
  <c r="G12" i="14" s="1"/>
  <c r="G11" i="14"/>
  <c r="C11" i="14"/>
  <c r="D15" i="14"/>
  <c r="G17" i="14" l="1"/>
  <c r="G18" i="14"/>
  <c r="D13" i="14"/>
  <c r="D16" i="14"/>
  <c r="G16" i="14"/>
  <c r="G13" i="14"/>
  <c r="D11" i="14"/>
  <c r="D21" i="3"/>
  <c r="D20" i="3"/>
  <c r="D9" i="3"/>
  <c r="D8" i="3"/>
  <c r="F119" i="13" l="1"/>
  <c r="E119" i="13"/>
  <c r="F104" i="13"/>
  <c r="F105" i="13"/>
  <c r="F106" i="13"/>
  <c r="F107" i="13"/>
  <c r="F108" i="13"/>
  <c r="F109" i="13"/>
  <c r="F110" i="13"/>
  <c r="F111" i="13"/>
  <c r="F112" i="13"/>
  <c r="F113" i="13"/>
  <c r="F114" i="13"/>
  <c r="F115" i="13"/>
  <c r="F116" i="13"/>
  <c r="F117" i="13"/>
  <c r="F118" i="13"/>
  <c r="F103" i="13"/>
  <c r="E104" i="13"/>
  <c r="E105" i="13"/>
  <c r="E106" i="13"/>
  <c r="E107" i="13"/>
  <c r="E108" i="13"/>
  <c r="E109" i="13"/>
  <c r="E110" i="13"/>
  <c r="E111" i="13"/>
  <c r="E112" i="13"/>
  <c r="E113" i="13"/>
  <c r="E114" i="13"/>
  <c r="E115" i="13"/>
  <c r="E116" i="13"/>
  <c r="E117" i="13"/>
  <c r="E118" i="13"/>
  <c r="E103" i="13"/>
  <c r="D104" i="13"/>
  <c r="D105" i="13"/>
  <c r="D106" i="13"/>
  <c r="D107" i="13"/>
  <c r="D108" i="13"/>
  <c r="D109" i="13"/>
  <c r="D110" i="13"/>
  <c r="D111" i="13"/>
  <c r="D112" i="13"/>
  <c r="D113" i="13"/>
  <c r="D114" i="13"/>
  <c r="D115" i="13"/>
  <c r="D116" i="13"/>
  <c r="D117" i="13"/>
  <c r="D118" i="13"/>
  <c r="D103" i="13"/>
  <c r="A104" i="13"/>
  <c r="A105" i="13"/>
  <c r="A106" i="13"/>
  <c r="A107" i="13"/>
  <c r="A108" i="13"/>
  <c r="A109" i="13"/>
  <c r="A110" i="13"/>
  <c r="A111" i="13"/>
  <c r="A112" i="13"/>
  <c r="A113" i="13"/>
  <c r="A114" i="13"/>
  <c r="A115" i="13"/>
  <c r="A116" i="13"/>
  <c r="A117" i="13"/>
  <c r="A118" i="13"/>
  <c r="A103" i="13"/>
  <c r="A102" i="13"/>
  <c r="C101" i="13"/>
  <c r="B101" i="13"/>
  <c r="A101" i="13"/>
  <c r="F100" i="13"/>
  <c r="E100" i="13"/>
  <c r="F85" i="13"/>
  <c r="F86" i="13"/>
  <c r="F87" i="13"/>
  <c r="F88" i="13"/>
  <c r="F89" i="13"/>
  <c r="F90" i="13"/>
  <c r="F91" i="13"/>
  <c r="F92" i="13"/>
  <c r="F93" i="13"/>
  <c r="F94" i="13"/>
  <c r="F95" i="13"/>
  <c r="F96" i="13"/>
  <c r="F97" i="13"/>
  <c r="F98" i="13"/>
  <c r="F99" i="13"/>
  <c r="F84" i="13"/>
  <c r="E85" i="13"/>
  <c r="E86" i="13"/>
  <c r="E87" i="13"/>
  <c r="E88" i="13"/>
  <c r="E89" i="13"/>
  <c r="E90" i="13"/>
  <c r="E91" i="13"/>
  <c r="E92" i="13"/>
  <c r="E93" i="13"/>
  <c r="E94" i="13"/>
  <c r="E95" i="13"/>
  <c r="E96" i="13"/>
  <c r="E97" i="13"/>
  <c r="E98" i="13"/>
  <c r="E99" i="13"/>
  <c r="E84" i="13"/>
  <c r="D85" i="13"/>
  <c r="D86" i="13"/>
  <c r="D87" i="13"/>
  <c r="D88" i="13"/>
  <c r="D89" i="13"/>
  <c r="D90" i="13"/>
  <c r="D91" i="13"/>
  <c r="D92" i="13"/>
  <c r="D93" i="13"/>
  <c r="D94" i="13"/>
  <c r="D95" i="13"/>
  <c r="D96" i="13"/>
  <c r="D97" i="13"/>
  <c r="D98" i="13"/>
  <c r="D99" i="13"/>
  <c r="D84" i="13"/>
  <c r="A85" i="13"/>
  <c r="A86" i="13"/>
  <c r="A87" i="13"/>
  <c r="A88" i="13"/>
  <c r="A89" i="13"/>
  <c r="A90" i="13"/>
  <c r="A91" i="13"/>
  <c r="A92" i="13"/>
  <c r="A93" i="13"/>
  <c r="A94" i="13"/>
  <c r="A95" i="13"/>
  <c r="A96" i="13"/>
  <c r="A97" i="13"/>
  <c r="A98" i="13"/>
  <c r="A99" i="13"/>
  <c r="A84" i="13"/>
  <c r="A83" i="13"/>
  <c r="C82" i="13"/>
  <c r="B82" i="13"/>
  <c r="A82" i="13"/>
  <c r="F81" i="13"/>
  <c r="E81" i="13"/>
  <c r="F66" i="13"/>
  <c r="F67" i="13"/>
  <c r="F68" i="13"/>
  <c r="F69" i="13"/>
  <c r="F70" i="13"/>
  <c r="F71" i="13"/>
  <c r="F72" i="13"/>
  <c r="F73" i="13"/>
  <c r="F74" i="13"/>
  <c r="F75" i="13"/>
  <c r="F76" i="13"/>
  <c r="F77" i="13"/>
  <c r="F78" i="13"/>
  <c r="F79" i="13"/>
  <c r="F80" i="13"/>
  <c r="F65" i="13"/>
  <c r="E66" i="13"/>
  <c r="E67" i="13"/>
  <c r="E68" i="13"/>
  <c r="E69" i="13"/>
  <c r="E70" i="13"/>
  <c r="E71" i="13"/>
  <c r="E72" i="13"/>
  <c r="E73" i="13"/>
  <c r="E74" i="13"/>
  <c r="E75" i="13"/>
  <c r="E76" i="13"/>
  <c r="E77" i="13"/>
  <c r="E78" i="13"/>
  <c r="E79" i="13"/>
  <c r="E80" i="13"/>
  <c r="E65" i="13"/>
  <c r="D66" i="13"/>
  <c r="D67" i="13"/>
  <c r="D68" i="13"/>
  <c r="D69" i="13"/>
  <c r="D70" i="13"/>
  <c r="D71" i="13"/>
  <c r="D72" i="13"/>
  <c r="D73" i="13"/>
  <c r="D74" i="13"/>
  <c r="D75" i="13"/>
  <c r="D76" i="13"/>
  <c r="D77" i="13"/>
  <c r="D78" i="13"/>
  <c r="D79" i="13"/>
  <c r="D80" i="13"/>
  <c r="D65" i="13"/>
  <c r="A66" i="13"/>
  <c r="A67" i="13"/>
  <c r="A68" i="13"/>
  <c r="A69" i="13"/>
  <c r="A70" i="13"/>
  <c r="A71" i="13"/>
  <c r="A72" i="13"/>
  <c r="A73" i="13"/>
  <c r="A74" i="13"/>
  <c r="A75" i="13"/>
  <c r="A76" i="13"/>
  <c r="A77" i="13"/>
  <c r="A78" i="13"/>
  <c r="A79" i="13"/>
  <c r="A80" i="13"/>
  <c r="A65" i="13"/>
  <c r="A64" i="13"/>
  <c r="C63" i="13"/>
  <c r="B63" i="13"/>
  <c r="A63" i="13"/>
  <c r="F62" i="13"/>
  <c r="E62" i="13"/>
  <c r="F47" i="13"/>
  <c r="F48" i="13"/>
  <c r="F49" i="13"/>
  <c r="F50" i="13"/>
  <c r="F51" i="13"/>
  <c r="F52" i="13"/>
  <c r="F53" i="13"/>
  <c r="F54" i="13"/>
  <c r="F55" i="13"/>
  <c r="F56" i="13"/>
  <c r="F57" i="13"/>
  <c r="F58" i="13"/>
  <c r="F59" i="13"/>
  <c r="F60" i="13"/>
  <c r="F61" i="13"/>
  <c r="F46" i="13"/>
  <c r="E47" i="13"/>
  <c r="E48" i="13"/>
  <c r="E49" i="13"/>
  <c r="E50" i="13"/>
  <c r="E51" i="13"/>
  <c r="E52" i="13"/>
  <c r="E53" i="13"/>
  <c r="E54" i="13"/>
  <c r="E55" i="13"/>
  <c r="E56" i="13"/>
  <c r="E57" i="13"/>
  <c r="E58" i="13"/>
  <c r="E59" i="13"/>
  <c r="E60" i="13"/>
  <c r="E61" i="13"/>
  <c r="E46" i="13"/>
  <c r="D47" i="13"/>
  <c r="D48" i="13"/>
  <c r="D49" i="13"/>
  <c r="D50" i="13"/>
  <c r="D51" i="13"/>
  <c r="D52" i="13"/>
  <c r="D53" i="13"/>
  <c r="D54" i="13"/>
  <c r="D55" i="13"/>
  <c r="D56" i="13"/>
  <c r="D57" i="13"/>
  <c r="D58" i="13"/>
  <c r="D59" i="13"/>
  <c r="D60" i="13"/>
  <c r="D61" i="13"/>
  <c r="D46" i="13"/>
  <c r="A47" i="13"/>
  <c r="A48" i="13"/>
  <c r="A49" i="13"/>
  <c r="A50" i="13"/>
  <c r="A51" i="13"/>
  <c r="A52" i="13"/>
  <c r="A53" i="13"/>
  <c r="A54" i="13"/>
  <c r="A55" i="13"/>
  <c r="A56" i="13"/>
  <c r="A57" i="13"/>
  <c r="A58" i="13"/>
  <c r="A59" i="13"/>
  <c r="A60" i="13"/>
  <c r="A61" i="13"/>
  <c r="A46" i="13"/>
  <c r="A45" i="13"/>
  <c r="C44" i="13"/>
  <c r="B44" i="13"/>
  <c r="A44" i="13"/>
  <c r="A26" i="13"/>
  <c r="A7" i="13"/>
  <c r="A25" i="13"/>
  <c r="A6" i="13"/>
  <c r="E43" i="13"/>
  <c r="F43" i="13"/>
  <c r="F28" i="13"/>
  <c r="F29" i="13"/>
  <c r="F30" i="13"/>
  <c r="F31" i="13"/>
  <c r="F32" i="13"/>
  <c r="F33" i="13"/>
  <c r="F34" i="13"/>
  <c r="F35" i="13"/>
  <c r="F36" i="13"/>
  <c r="F37" i="13"/>
  <c r="F38" i="13"/>
  <c r="F39" i="13"/>
  <c r="F40" i="13"/>
  <c r="F41" i="13"/>
  <c r="F42" i="13"/>
  <c r="F27" i="13"/>
  <c r="E28" i="13"/>
  <c r="E29" i="13"/>
  <c r="E30" i="13"/>
  <c r="E31" i="13"/>
  <c r="E32" i="13"/>
  <c r="E33" i="13"/>
  <c r="E34" i="13"/>
  <c r="E35" i="13"/>
  <c r="E36" i="13"/>
  <c r="E37" i="13"/>
  <c r="E38" i="13"/>
  <c r="E39" i="13"/>
  <c r="E40" i="13"/>
  <c r="E41" i="13"/>
  <c r="E42" i="13"/>
  <c r="E27" i="13"/>
  <c r="D28" i="13"/>
  <c r="D29" i="13"/>
  <c r="D30" i="13"/>
  <c r="D31" i="13"/>
  <c r="D32" i="13"/>
  <c r="D33" i="13"/>
  <c r="D34" i="13"/>
  <c r="D35" i="13"/>
  <c r="D36" i="13"/>
  <c r="D37" i="13"/>
  <c r="D38" i="13"/>
  <c r="D39" i="13"/>
  <c r="D40" i="13"/>
  <c r="D41" i="13"/>
  <c r="D42" i="13"/>
  <c r="D27" i="13"/>
  <c r="A28" i="13"/>
  <c r="A29" i="13"/>
  <c r="A30" i="13"/>
  <c r="A31" i="13"/>
  <c r="A32" i="13"/>
  <c r="A33" i="13"/>
  <c r="A34" i="13"/>
  <c r="A35" i="13"/>
  <c r="A36" i="13"/>
  <c r="A37" i="13"/>
  <c r="A38" i="13"/>
  <c r="A39" i="13"/>
  <c r="A40" i="13"/>
  <c r="A41" i="13"/>
  <c r="A42" i="13"/>
  <c r="A27" i="13"/>
  <c r="C25" i="13"/>
  <c r="B25" i="13"/>
  <c r="F24" i="13"/>
  <c r="F9" i="13"/>
  <c r="F10" i="13"/>
  <c r="F11" i="13"/>
  <c r="F12" i="13"/>
  <c r="F13" i="13"/>
  <c r="F14" i="13"/>
  <c r="F15" i="13"/>
  <c r="F16" i="13"/>
  <c r="F17" i="13"/>
  <c r="F18" i="13"/>
  <c r="F19" i="13"/>
  <c r="F20" i="13"/>
  <c r="F21" i="13"/>
  <c r="F22" i="13"/>
  <c r="F23" i="13"/>
  <c r="F8" i="13"/>
  <c r="E24" i="13"/>
  <c r="E9" i="13"/>
  <c r="E10" i="13"/>
  <c r="E11" i="13"/>
  <c r="E12" i="13"/>
  <c r="E13" i="13"/>
  <c r="E14" i="13"/>
  <c r="E15" i="13"/>
  <c r="E16" i="13"/>
  <c r="E17" i="13"/>
  <c r="E18" i="13"/>
  <c r="E19" i="13"/>
  <c r="E20" i="13"/>
  <c r="E21" i="13"/>
  <c r="E22" i="13"/>
  <c r="E23" i="13"/>
  <c r="E8" i="13"/>
  <c r="D9" i="13"/>
  <c r="D10" i="13"/>
  <c r="D11" i="13"/>
  <c r="D12" i="13"/>
  <c r="D13" i="13"/>
  <c r="D14" i="13"/>
  <c r="D15" i="13"/>
  <c r="D16" i="13"/>
  <c r="D17" i="13"/>
  <c r="D18" i="13"/>
  <c r="D19" i="13"/>
  <c r="D20" i="13"/>
  <c r="D21" i="13"/>
  <c r="D22" i="13"/>
  <c r="D23" i="13"/>
  <c r="D8" i="13"/>
  <c r="A9" i="13"/>
  <c r="A10" i="13"/>
  <c r="A11" i="13"/>
  <c r="A12" i="13"/>
  <c r="A13" i="13"/>
  <c r="A14" i="13"/>
  <c r="A15" i="13"/>
  <c r="A16" i="13"/>
  <c r="A17" i="13"/>
  <c r="A18" i="13"/>
  <c r="A19" i="13"/>
  <c r="A20" i="13"/>
  <c r="A21" i="13"/>
  <c r="A22" i="13"/>
  <c r="A23" i="13"/>
  <c r="A8" i="13"/>
  <c r="C6" i="13"/>
  <c r="B6" i="13"/>
  <c r="B3" i="13"/>
  <c r="B2" i="13"/>
  <c r="G127" i="13"/>
  <c r="J119" i="13"/>
  <c r="I119" i="13"/>
  <c r="K118" i="13"/>
  <c r="K117" i="13"/>
  <c r="K116" i="13"/>
  <c r="K115" i="13"/>
  <c r="K114" i="13"/>
  <c r="K113" i="13"/>
  <c r="K112" i="13"/>
  <c r="K111" i="13"/>
  <c r="K110" i="13"/>
  <c r="K109" i="13"/>
  <c r="K108" i="13"/>
  <c r="K107" i="13"/>
  <c r="K106" i="13"/>
  <c r="K105" i="13"/>
  <c r="K104" i="13"/>
  <c r="K103" i="13"/>
  <c r="J100" i="13"/>
  <c r="I100" i="13"/>
  <c r="K99" i="13"/>
  <c r="K98" i="13"/>
  <c r="K97" i="13"/>
  <c r="K96" i="13"/>
  <c r="K95" i="13"/>
  <c r="K94" i="13"/>
  <c r="K93" i="13"/>
  <c r="K92" i="13"/>
  <c r="K91" i="13"/>
  <c r="K90" i="13"/>
  <c r="K89" i="13"/>
  <c r="K88" i="13"/>
  <c r="K87" i="13"/>
  <c r="K86" i="13"/>
  <c r="K85" i="13"/>
  <c r="K84" i="13"/>
  <c r="J81" i="13"/>
  <c r="I81" i="13"/>
  <c r="K80" i="13"/>
  <c r="K79" i="13"/>
  <c r="K78" i="13"/>
  <c r="K77" i="13"/>
  <c r="K76" i="13"/>
  <c r="K75" i="13"/>
  <c r="K74" i="13"/>
  <c r="K73" i="13"/>
  <c r="K72" i="13"/>
  <c r="K71" i="13"/>
  <c r="K70" i="13"/>
  <c r="K69" i="13"/>
  <c r="K68" i="13"/>
  <c r="K67" i="13"/>
  <c r="K66" i="13"/>
  <c r="K65" i="13"/>
  <c r="J62" i="13"/>
  <c r="I62" i="13"/>
  <c r="K61" i="13"/>
  <c r="K60" i="13"/>
  <c r="K59" i="13"/>
  <c r="K58" i="13"/>
  <c r="K57" i="13"/>
  <c r="K56" i="13"/>
  <c r="K55" i="13"/>
  <c r="K54" i="13"/>
  <c r="K53" i="13"/>
  <c r="K52" i="13"/>
  <c r="K51" i="13"/>
  <c r="K50" i="13"/>
  <c r="K49" i="13"/>
  <c r="K48" i="13"/>
  <c r="K47" i="13"/>
  <c r="K46" i="13"/>
  <c r="J43" i="13"/>
  <c r="I43" i="13"/>
  <c r="K42" i="13"/>
  <c r="K41" i="13"/>
  <c r="K40" i="13"/>
  <c r="K39" i="13"/>
  <c r="K38" i="13"/>
  <c r="K37" i="13"/>
  <c r="K36" i="13"/>
  <c r="K35" i="13"/>
  <c r="K34" i="13"/>
  <c r="K33" i="13"/>
  <c r="K32" i="13"/>
  <c r="K31" i="13"/>
  <c r="K30" i="13"/>
  <c r="K29" i="13"/>
  <c r="K28" i="13"/>
  <c r="K27" i="13"/>
  <c r="J24" i="13"/>
  <c r="I24" i="13"/>
  <c r="K23" i="13"/>
  <c r="K22" i="13"/>
  <c r="K21" i="13"/>
  <c r="K20" i="13"/>
  <c r="K19" i="13"/>
  <c r="K18" i="13"/>
  <c r="K17" i="13"/>
  <c r="K16" i="13"/>
  <c r="K15" i="13"/>
  <c r="K14" i="13"/>
  <c r="K13" i="13"/>
  <c r="K12" i="13"/>
  <c r="K11" i="13"/>
  <c r="K10" i="13"/>
  <c r="K9" i="13"/>
  <c r="K8" i="13"/>
  <c r="K62" i="13" l="1"/>
  <c r="K81" i="13"/>
  <c r="K100" i="13"/>
  <c r="J120" i="13"/>
  <c r="K24" i="13"/>
  <c r="K43" i="13"/>
  <c r="K119" i="13"/>
  <c r="I120" i="13"/>
  <c r="K122" i="13" s="1"/>
  <c r="K123" i="13" s="1"/>
  <c r="K120" i="13" l="1"/>
  <c r="A4" i="7"/>
  <c r="E19" i="11" l="1"/>
  <c r="F19" i="11" s="1"/>
  <c r="D19" i="11"/>
  <c r="E18" i="11"/>
  <c r="D18" i="11"/>
  <c r="E17" i="11"/>
  <c r="D17" i="11"/>
  <c r="E16" i="11"/>
  <c r="D16" i="11"/>
  <c r="E15" i="11"/>
  <c r="F15" i="11" s="1"/>
  <c r="D15" i="11"/>
  <c r="F18" i="11" l="1"/>
  <c r="F16" i="11"/>
  <c r="F17" i="11"/>
  <c r="D20" i="11"/>
  <c r="F36" i="3" s="1"/>
  <c r="E20" i="11"/>
  <c r="G20" i="3" l="1"/>
  <c r="D33" i="3" s="1"/>
  <c r="E33" i="3" s="1"/>
  <c r="F47" i="11"/>
  <c r="F34" i="3"/>
  <c r="F30" i="3"/>
  <c r="F31" i="3"/>
  <c r="F33" i="3"/>
  <c r="D36" i="3"/>
  <c r="G36" i="3"/>
  <c r="G31" i="3"/>
  <c r="G30" i="3"/>
  <c r="G34" i="3"/>
  <c r="G33" i="3"/>
  <c r="G47" i="11"/>
  <c r="F20" i="11"/>
  <c r="E36" i="3" l="1"/>
  <c r="A7" i="7"/>
  <c r="A6" i="7"/>
  <c r="A5" i="7"/>
  <c r="E7" i="7"/>
  <c r="E6" i="7"/>
  <c r="E5" i="7"/>
  <c r="E4" i="7"/>
  <c r="C7" i="7"/>
  <c r="C6" i="7"/>
  <c r="C5" i="7"/>
  <c r="C4" i="7"/>
  <c r="B78" i="10" l="1"/>
  <c r="F120" i="13"/>
  <c r="E120" i="13"/>
  <c r="H66" i="10"/>
  <c r="G118" i="13"/>
  <c r="G117" i="13"/>
  <c r="G116" i="13"/>
  <c r="G115" i="13"/>
  <c r="G114" i="13"/>
  <c r="G113" i="13"/>
  <c r="G112" i="13"/>
  <c r="G111" i="13"/>
  <c r="G110" i="13"/>
  <c r="G109" i="13"/>
  <c r="G108" i="13"/>
  <c r="G107" i="13"/>
  <c r="G106" i="13"/>
  <c r="G105" i="13"/>
  <c r="G104" i="13"/>
  <c r="H47" i="10"/>
  <c r="G99" i="13"/>
  <c r="G98" i="13"/>
  <c r="G97" i="13"/>
  <c r="G96" i="13"/>
  <c r="G95" i="13"/>
  <c r="G94" i="13"/>
  <c r="G93" i="13"/>
  <c r="G92" i="13"/>
  <c r="G91" i="13"/>
  <c r="G90" i="13"/>
  <c r="G89" i="13"/>
  <c r="G88" i="13"/>
  <c r="G87" i="13"/>
  <c r="G86" i="13"/>
  <c r="G85" i="13"/>
  <c r="G80" i="13"/>
  <c r="G79" i="13"/>
  <c r="G78" i="13"/>
  <c r="G77" i="13"/>
  <c r="G76" i="13"/>
  <c r="G75" i="13"/>
  <c r="G74" i="13"/>
  <c r="G73" i="13"/>
  <c r="G72" i="13"/>
  <c r="G71" i="13"/>
  <c r="G70" i="13"/>
  <c r="G69" i="13"/>
  <c r="G46" i="10"/>
  <c r="G68" i="13" s="1"/>
  <c r="G45" i="10"/>
  <c r="G67" i="13" s="1"/>
  <c r="G44" i="10"/>
  <c r="G66" i="13" s="1"/>
  <c r="G43" i="10"/>
  <c r="H40" i="10"/>
  <c r="G61" i="13"/>
  <c r="G60" i="13"/>
  <c r="G59" i="13"/>
  <c r="G58" i="13"/>
  <c r="G57" i="13"/>
  <c r="G56" i="13"/>
  <c r="G55" i="13"/>
  <c r="G39" i="10"/>
  <c r="G54" i="13" s="1"/>
  <c r="G38" i="10"/>
  <c r="G53" i="13" s="1"/>
  <c r="G37" i="10"/>
  <c r="G52" i="13" s="1"/>
  <c r="G36" i="10"/>
  <c r="G51" i="13" s="1"/>
  <c r="G35" i="10"/>
  <c r="G50" i="13" s="1"/>
  <c r="G34" i="10"/>
  <c r="G49" i="13" s="1"/>
  <c r="G33" i="10"/>
  <c r="G48" i="13" s="1"/>
  <c r="G32" i="10"/>
  <c r="G47" i="13" s="1"/>
  <c r="H27" i="10"/>
  <c r="G26" i="10"/>
  <c r="G42" i="13" s="1"/>
  <c r="G23" i="10"/>
  <c r="G41" i="13" s="1"/>
  <c r="G22" i="10"/>
  <c r="G40" i="13" s="1"/>
  <c r="G21" i="10"/>
  <c r="G39" i="13" s="1"/>
  <c r="G20" i="10"/>
  <c r="G38" i="13" s="1"/>
  <c r="G19" i="10"/>
  <c r="G37" i="13" s="1"/>
  <c r="G18" i="10"/>
  <c r="G36" i="13" s="1"/>
  <c r="G17" i="10"/>
  <c r="G35" i="13" s="1"/>
  <c r="G16" i="10"/>
  <c r="G34" i="13" s="1"/>
  <c r="G33" i="13"/>
  <c r="G14" i="10"/>
  <c r="G15" i="10"/>
  <c r="G31" i="13" s="1"/>
  <c r="G30" i="13"/>
  <c r="G29" i="13"/>
  <c r="G28" i="13"/>
  <c r="G27" i="13"/>
  <c r="H8" i="10"/>
  <c r="G23" i="13"/>
  <c r="G22" i="13"/>
  <c r="G21" i="13"/>
  <c r="G20" i="13"/>
  <c r="G19" i="13"/>
  <c r="G18" i="13"/>
  <c r="G17" i="13"/>
  <c r="G16" i="13"/>
  <c r="G15" i="13"/>
  <c r="G14" i="13"/>
  <c r="G13" i="13"/>
  <c r="G12" i="13"/>
  <c r="G11" i="13"/>
  <c r="G10" i="13"/>
  <c r="G9" i="13"/>
  <c r="G7" i="10"/>
  <c r="G8" i="13" s="1"/>
  <c r="G47" i="10" l="1"/>
  <c r="F7" i="7" s="1"/>
  <c r="G40" i="10"/>
  <c r="G62" i="13" s="1"/>
  <c r="G46" i="13"/>
  <c r="G84" i="13"/>
  <c r="G27" i="10"/>
  <c r="F5" i="7" s="1"/>
  <c r="G32" i="13"/>
  <c r="G66" i="10"/>
  <c r="F9" i="7" s="1"/>
  <c r="G103" i="13"/>
  <c r="G8" i="10"/>
  <c r="F4" i="7" s="1"/>
  <c r="G65" i="13"/>
  <c r="G67" i="10"/>
  <c r="G15" i="6" s="1"/>
  <c r="G4" i="6" s="1"/>
  <c r="G69" i="10"/>
  <c r="F12" i="6"/>
  <c r="B8" i="5"/>
  <c r="C19" i="5"/>
  <c r="G7" i="4"/>
  <c r="G8" i="4"/>
  <c r="G9" i="4"/>
  <c r="G10" i="4"/>
  <c r="G11" i="4"/>
  <c r="G12" i="4"/>
  <c r="G13" i="4"/>
  <c r="G14" i="4"/>
  <c r="G15" i="4"/>
  <c r="G16" i="4"/>
  <c r="G17" i="4"/>
  <c r="G18" i="4"/>
  <c r="G19" i="4"/>
  <c r="G20" i="4"/>
  <c r="G21" i="4"/>
  <c r="G22" i="4"/>
  <c r="G26" i="4"/>
  <c r="G27" i="4"/>
  <c r="G28" i="4"/>
  <c r="G29" i="4"/>
  <c r="G4" i="5" s="1"/>
  <c r="H4" i="5" s="1"/>
  <c r="G30" i="4"/>
  <c r="G31" i="4"/>
  <c r="G32" i="4"/>
  <c r="G33" i="4"/>
  <c r="G34" i="4"/>
  <c r="G35" i="4"/>
  <c r="G36" i="4"/>
  <c r="G37" i="4"/>
  <c r="G38" i="4"/>
  <c r="G39" i="4"/>
  <c r="G40" i="4"/>
  <c r="G41" i="4"/>
  <c r="G45" i="4"/>
  <c r="G46" i="4"/>
  <c r="G47" i="4"/>
  <c r="G48" i="4"/>
  <c r="G49" i="4"/>
  <c r="G5" i="5" s="1"/>
  <c r="H5" i="5" s="1"/>
  <c r="G50" i="4"/>
  <c r="G51" i="4"/>
  <c r="G52" i="4"/>
  <c r="G53" i="4"/>
  <c r="G54" i="4"/>
  <c r="G55" i="4"/>
  <c r="G56" i="4"/>
  <c r="G57" i="4"/>
  <c r="G58" i="4"/>
  <c r="G59" i="4"/>
  <c r="G60" i="4"/>
  <c r="G61" i="4"/>
  <c r="G65" i="4"/>
  <c r="G66" i="4"/>
  <c r="G6" i="5" s="1"/>
  <c r="H6" i="5" s="1"/>
  <c r="G67" i="4"/>
  <c r="G68" i="4"/>
  <c r="G69" i="4"/>
  <c r="G70" i="4"/>
  <c r="G71" i="4"/>
  <c r="G72" i="4"/>
  <c r="G73" i="4"/>
  <c r="G74" i="4"/>
  <c r="G75" i="4"/>
  <c r="G76" i="4"/>
  <c r="G77" i="4"/>
  <c r="G78" i="4"/>
  <c r="G79" i="4"/>
  <c r="G80" i="4"/>
  <c r="G84" i="4"/>
  <c r="G85" i="4"/>
  <c r="G7" i="5"/>
  <c r="H7" i="5" s="1"/>
  <c r="G86" i="4"/>
  <c r="G87" i="4"/>
  <c r="G88" i="4"/>
  <c r="G89" i="4"/>
  <c r="G90" i="4"/>
  <c r="G91" i="4"/>
  <c r="G92" i="4"/>
  <c r="G93" i="4"/>
  <c r="G94" i="4"/>
  <c r="G95" i="4"/>
  <c r="G96" i="4"/>
  <c r="G97" i="4"/>
  <c r="G98" i="4"/>
  <c r="G99" i="4"/>
  <c r="G103" i="4"/>
  <c r="G104" i="4"/>
  <c r="G105" i="4"/>
  <c r="G106" i="4"/>
  <c r="G107" i="4"/>
  <c r="G108" i="4"/>
  <c r="G109" i="4"/>
  <c r="G110" i="4"/>
  <c r="G111" i="4"/>
  <c r="G112" i="4"/>
  <c r="G113" i="4"/>
  <c r="G114" i="4"/>
  <c r="G115" i="4"/>
  <c r="G116" i="4"/>
  <c r="G117" i="4"/>
  <c r="G118" i="4"/>
  <c r="G122" i="4"/>
  <c r="G21" i="3"/>
  <c r="C16" i="3"/>
  <c r="G16" i="3" s="1"/>
  <c r="D15" i="1"/>
  <c r="D16" i="1"/>
  <c r="D17" i="1"/>
  <c r="D18" i="1"/>
  <c r="D19" i="1"/>
  <c r="E15" i="1"/>
  <c r="E16" i="1"/>
  <c r="E17" i="1"/>
  <c r="E18" i="1"/>
  <c r="E19" i="1"/>
  <c r="C11" i="3"/>
  <c r="C13" i="3"/>
  <c r="G13" i="3" s="1"/>
  <c r="C15" i="3"/>
  <c r="G15" i="3"/>
  <c r="E17" i="3"/>
  <c r="D17" i="3" s="1"/>
  <c r="E18" i="3"/>
  <c r="D18" i="3" s="1"/>
  <c r="C12" i="3"/>
  <c r="G12" i="3" s="1"/>
  <c r="C14" i="3"/>
  <c r="G14" i="3" s="1"/>
  <c r="D12" i="3"/>
  <c r="F47" i="2"/>
  <c r="G47" i="2"/>
  <c r="H47" i="2"/>
  <c r="I47" i="2"/>
  <c r="J47" i="2"/>
  <c r="K47" i="2"/>
  <c r="L47" i="2"/>
  <c r="M47" i="2"/>
  <c r="N47" i="2"/>
  <c r="O47" i="2"/>
  <c r="F48" i="2"/>
  <c r="G48" i="2"/>
  <c r="H48" i="2"/>
  <c r="I48" i="2"/>
  <c r="J48" i="2"/>
  <c r="K48" i="2"/>
  <c r="L48" i="2"/>
  <c r="M48" i="2"/>
  <c r="N48" i="2"/>
  <c r="O48" i="2"/>
  <c r="E48" i="2"/>
  <c r="E47" i="2"/>
  <c r="J28" i="2"/>
  <c r="J34" i="2" s="1"/>
  <c r="F28" i="2"/>
  <c r="F31" i="2" s="1"/>
  <c r="E28" i="2"/>
  <c r="E31" i="2" s="1"/>
  <c r="E34" i="2"/>
  <c r="E35" i="2"/>
  <c r="G28" i="2"/>
  <c r="G32" i="2" s="1"/>
  <c r="H28" i="2"/>
  <c r="H35" i="2" s="1"/>
  <c r="I28" i="2"/>
  <c r="I35" i="2" s="1"/>
  <c r="K28" i="2"/>
  <c r="L28" i="2"/>
  <c r="L34" i="2" s="1"/>
  <c r="L31" i="2"/>
  <c r="M28" i="2"/>
  <c r="M34" i="2" s="1"/>
  <c r="N28" i="2"/>
  <c r="O28" i="2"/>
  <c r="O35" i="2" s="1"/>
  <c r="F11" i="2"/>
  <c r="G11" i="2"/>
  <c r="H11" i="2"/>
  <c r="I11" i="2"/>
  <c r="J11" i="2"/>
  <c r="K11" i="2"/>
  <c r="L11" i="2"/>
  <c r="M11" i="2"/>
  <c r="N11" i="2"/>
  <c r="O11" i="2"/>
  <c r="E11" i="2"/>
  <c r="I32" i="2"/>
  <c r="K35" i="2"/>
  <c r="N35" i="2"/>
  <c r="N31" i="2"/>
  <c r="N34" i="2"/>
  <c r="L33" i="2"/>
  <c r="O33" i="2"/>
  <c r="K33" i="2"/>
  <c r="N33" i="2"/>
  <c r="E33" i="2"/>
  <c r="L32" i="2"/>
  <c r="N32" i="2"/>
  <c r="K34" i="2"/>
  <c r="O34" i="2"/>
  <c r="K32" i="2"/>
  <c r="O32" i="2"/>
  <c r="I34" i="2"/>
  <c r="K31" i="2"/>
  <c r="O31" i="2"/>
  <c r="H34" i="2"/>
  <c r="H15" i="14" s="1"/>
  <c r="G33" i="2"/>
  <c r="F33" i="2"/>
  <c r="F34" i="2"/>
  <c r="H31" i="2"/>
  <c r="F32" i="2"/>
  <c r="G11" i="3" l="1"/>
  <c r="H12" i="3"/>
  <c r="H32" i="2"/>
  <c r="H16" i="14" s="1"/>
  <c r="H21" i="14" s="1"/>
  <c r="E36" i="1" s="1"/>
  <c r="G23" i="4"/>
  <c r="H17" i="14"/>
  <c r="H12" i="14"/>
  <c r="H18" i="14"/>
  <c r="H11" i="14"/>
  <c r="E32" i="2"/>
  <c r="F35" i="2"/>
  <c r="H13" i="14"/>
  <c r="H14" i="14"/>
  <c r="H33" i="2"/>
  <c r="H8" i="5"/>
  <c r="F16" i="1"/>
  <c r="F15" i="1"/>
  <c r="F18" i="1"/>
  <c r="F17" i="1"/>
  <c r="F19" i="1"/>
  <c r="D20" i="1"/>
  <c r="G20" i="14" s="1"/>
  <c r="D15" i="3"/>
  <c r="D14" i="3"/>
  <c r="G100" i="13"/>
  <c r="G43" i="13"/>
  <c r="F6" i="7"/>
  <c r="F10" i="7" s="1"/>
  <c r="G119" i="13"/>
  <c r="G18" i="3"/>
  <c r="G17" i="3"/>
  <c r="G81" i="13"/>
  <c r="M35" i="2"/>
  <c r="G35" i="2"/>
  <c r="M31" i="2"/>
  <c r="J32" i="2"/>
  <c r="L35" i="2"/>
  <c r="I33" i="2"/>
  <c r="I31" i="2"/>
  <c r="J35" i="2"/>
  <c r="H16" i="3"/>
  <c r="H21" i="3" s="1"/>
  <c r="G24" i="13"/>
  <c r="D13" i="3"/>
  <c r="M33" i="2"/>
  <c r="G31" i="2"/>
  <c r="D16" i="3"/>
  <c r="J33" i="2"/>
  <c r="J31" i="2"/>
  <c r="I12" i="3"/>
  <c r="G34" i="2"/>
  <c r="H15" i="3" s="1"/>
  <c r="I15" i="3" s="1"/>
  <c r="D11" i="3"/>
  <c r="M32" i="2"/>
  <c r="G16" i="6"/>
  <c r="G120" i="13"/>
  <c r="E20" i="1"/>
  <c r="G42" i="4"/>
  <c r="G100" i="4"/>
  <c r="G119" i="4"/>
  <c r="G120" i="4"/>
  <c r="G62" i="4"/>
  <c r="G81" i="4"/>
  <c r="H9" i="14" l="1"/>
  <c r="H8" i="14"/>
  <c r="G36" i="14"/>
  <c r="G34" i="14"/>
  <c r="G33" i="14"/>
  <c r="G31" i="14"/>
  <c r="G30" i="14"/>
  <c r="J17" i="14"/>
  <c r="D36" i="14"/>
  <c r="I13" i="14"/>
  <c r="J18" i="14"/>
  <c r="F31" i="14"/>
  <c r="F34" i="14"/>
  <c r="F36" i="14"/>
  <c r="I16" i="14"/>
  <c r="J15" i="14"/>
  <c r="I12" i="14"/>
  <c r="D34" i="14"/>
  <c r="F30" i="14"/>
  <c r="F33" i="14"/>
  <c r="I15" i="14"/>
  <c r="I11" i="14"/>
  <c r="I17" i="14"/>
  <c r="I14" i="14"/>
  <c r="I18" i="14"/>
  <c r="J15" i="3"/>
  <c r="J12" i="3"/>
  <c r="D34" i="3"/>
  <c r="E34" i="3" s="1"/>
  <c r="J16" i="3"/>
  <c r="I16" i="3"/>
  <c r="E35" i="11"/>
  <c r="H36" i="3"/>
  <c r="E36" i="11"/>
  <c r="F47" i="1"/>
  <c r="F20" i="1"/>
  <c r="J16" i="14" s="1"/>
  <c r="H11" i="3"/>
  <c r="H18" i="3"/>
  <c r="J18" i="3" s="1"/>
  <c r="H17" i="3"/>
  <c r="J17" i="3" s="1"/>
  <c r="H14" i="3"/>
  <c r="H13" i="3"/>
  <c r="G47" i="1"/>
  <c r="J11" i="14" l="1"/>
  <c r="D33" i="14"/>
  <c r="E33" i="14" s="1"/>
  <c r="I33" i="14" s="1"/>
  <c r="E35" i="1"/>
  <c r="J12" i="14"/>
  <c r="I8" i="14"/>
  <c r="I9" i="14"/>
  <c r="J13" i="14"/>
  <c r="J9" i="14" s="1"/>
  <c r="E31" i="14" s="1"/>
  <c r="I31" i="14" s="1"/>
  <c r="E36" i="14"/>
  <c r="I36" i="14" s="1"/>
  <c r="H36" i="14"/>
  <c r="J14" i="14"/>
  <c r="E34" i="14"/>
  <c r="I34" i="14" s="1"/>
  <c r="H34" i="14"/>
  <c r="I17" i="3"/>
  <c r="I13" i="3"/>
  <c r="J13" i="3"/>
  <c r="I11" i="3"/>
  <c r="J11" i="3"/>
  <c r="J14" i="3"/>
  <c r="I14" i="3"/>
  <c r="I18" i="3"/>
  <c r="I33" i="3"/>
  <c r="I36" i="3"/>
  <c r="I34" i="3"/>
  <c r="H34" i="3"/>
  <c r="H9" i="3"/>
  <c r="H8" i="3"/>
  <c r="G7" i="6"/>
  <c r="G10" i="6"/>
  <c r="G9" i="6"/>
  <c r="G8" i="6"/>
  <c r="G5" i="6"/>
  <c r="G11" i="6"/>
  <c r="G6" i="6"/>
  <c r="G12" i="6"/>
  <c r="J8" i="14" l="1"/>
  <c r="E30" i="14" s="1"/>
  <c r="I30" i="14" s="1"/>
  <c r="H33" i="14"/>
  <c r="G9" i="14"/>
  <c r="E33" i="1" s="1"/>
  <c r="D31" i="14"/>
  <c r="H31" i="14" s="1"/>
  <c r="G8" i="14"/>
  <c r="E32" i="1" s="1"/>
  <c r="D30" i="14"/>
  <c r="H33" i="3"/>
  <c r="J9" i="3"/>
  <c r="E31" i="3" s="1"/>
  <c r="I31" i="3" s="1"/>
  <c r="J8" i="3"/>
  <c r="E30" i="3" s="1"/>
  <c r="I8" i="3"/>
  <c r="G8" i="3" s="1"/>
  <c r="I9" i="3"/>
  <c r="G9" i="3" s="1"/>
  <c r="E47" i="1" l="1"/>
  <c r="I47" i="1" s="1"/>
  <c r="H30" i="14"/>
  <c r="D47" i="1"/>
  <c r="E47" i="11"/>
  <c r="I47" i="11" s="1"/>
  <c r="I30" i="3"/>
  <c r="D30" i="3"/>
  <c r="D31" i="3"/>
  <c r="H31" i="3" s="1"/>
  <c r="E33" i="11" l="1"/>
  <c r="D47" i="11"/>
  <c r="H47" i="11" s="1"/>
  <c r="H30" i="3"/>
  <c r="H47" i="1"/>
  <c r="E3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tc={83C208B2-6611-4077-89DD-87C9AC18DD26}</author>
  </authors>
  <commentList>
    <comment ref="A1" authorId="0" shapeId="0" xr:uid="{00000000-0006-0000-0B00-000001000000}">
      <text>
        <t>[Threaded comment]
Your version of Excel allows you to read this threaded comment; however, any edits to it will get removed if the file is opened in a newer version of Excel. Learn more: https://go.microsoft.com/fwlink/?linkid=870924
Comment:
    Hide &amp; password protect - for FCM internal only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tc={83C208B2-6611-4078-89DD-87C9AC18DD26}</author>
  </authors>
  <commentList>
    <comment ref="A1" authorId="0" shapeId="0" xr:uid="{00000000-0006-0000-0C00-000001000000}">
      <text>
        <t>[Threaded comment]
Your version of Excel allows you to read this threaded comment; however, any edits to it will get removed if the file is opened in a newer version of Excel. Learn more: https://go.microsoft.com/fwlink/?linkid=870924
Comment:
    Hide &amp; password protect - for FCM internal only</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tc={0B1902F6-DA4F-4390-A2F8-9E48D108E87E}</author>
    <author>tc={D7C7FB7D-4106-456F-ACF4-680725070536}</author>
    <author>tc={EA903C52-7E4C-4B17-BC64-392F41FFA740}</author>
    <author>tc={AD876204-CED4-455B-BD14-843D4B2F42D6}</author>
    <author>tc={DA5305A4-E61D-423F-AA5B-85BB1530E19E}</author>
    <author>tc={F73B4F59-A484-437A-8866-C210C853B19C}</author>
    <author>tc={C79F7250-C216-4633-815F-B796D9C56FAC}</author>
    <author>tc={FD92E49D-78E8-40DC-8283-389233F4D5F4}</author>
    <author>tc={04D87714-EBAA-46C2-ADCC-C425EE46C6DC}</author>
    <author>tc={5C970FFF-64C3-461B-95E0-13ACB05E9BCB}</author>
    <author>tc={B20D95D9-B81A-4A01-BF57-6EC6A49272E0}</author>
    <author>tc={B07030A1-D051-4AA8-A540-687C39982540}</author>
  </authors>
  <commentList>
    <comment ref="A1" authorId="0" shapeId="0" xr:uid="{00000000-0006-0000-0D00-000001000000}">
      <text>
        <t>[Threaded comment]
Your version of Excel allows you to read this threaded comment; however, any edits to it will get removed if the file is opened in a newer version of Excel. Learn more: https://go.microsoft.com/fwlink/?linkid=870924
Comment:
    Hide &amp; password protect - for FCM internal only</t>
      </text>
    </comment>
    <comment ref="B2" authorId="1" shapeId="0" xr:uid="{00000000-0006-0000-0D00-000002000000}">
      <text>
        <t>[Threaded comment]
Your version of Excel allows you to read this threaded comment; however, any edits to it will get removed if the file is opened in a newer version of Excel. Learn more: https://go.microsoft.com/fwlink/?linkid=870924
Comment:
    Source: http://oee.nrcan.gc.ca/corporate/statistics/neud/dpa/menus/trends/comprehensive_tables/list.cfm &amp; http://data.ec.gc.ca/data/substances/monitor/canada-s-official-greenhouse-gas-inventory/E-Tables-Electricity-Canada-Provinces-Territories/?lang=en</t>
      </text>
    </comment>
    <comment ref="D43" authorId="2" shapeId="0" xr:uid="{00000000-0006-0000-0D00-000003000000}">
      <text>
        <t>[Threaded comment]
Your version of Excel allows you to read this threaded comment; however, any edits to it will get removed if the file is opened in a newer version of Excel. Learn more: https://go.microsoft.com/fwlink/?linkid=870924
Comment:
    Includes wood/electric, wood/heating oil, natural gas/electric, heating oil/electric dual systems</t>
      </text>
    </comment>
    <comment ref="B50" authorId="3" shapeId="0" xr:uid="{00000000-0006-0000-0D00-000004000000}">
      <text>
        <t>[Threaded comment]
Your version of Excel allows you to read this threaded comment; however, any edits to it will get removed if the file is opened in a newer version of Excel. Learn more: https://go.microsoft.com/fwlink/?linkid=870924
Comment:
    Source: http://oee.nrcan.gc.ca/corporate/statistics/neud/dpa/menus/trends/comprehensive_tables/list.cfm &amp; http://data.ec.gc.ca/data/substances/monitor/canada-s-official-greenhouse-gas-inventory/E-Tables-Electricity-Canada-Provinces-Territories/?lang=en</t>
      </text>
    </comment>
    <comment ref="D71" authorId="4" shapeId="0" xr:uid="{00000000-0006-0000-0D00-000005000000}">
      <text>
        <t>[Threaded comment]
Your version of Excel allows you to read this threaded comment; however, any edits to it will get removed if the file is opened in a newer version of Excel. Learn more: https://go.microsoft.com/fwlink/?linkid=870924
Comment:
    Source: FCM Energy Roadmap. Technology Factsheet: Enveloppe. 2019.</t>
      </text>
    </comment>
    <comment ref="D72" authorId="5" shapeId="0" xr:uid="{00000000-0006-0000-0D00-000006000000}">
      <text>
        <t>[Threaded comment]
Your version of Excel allows you to read this threaded comment; however, any edits to it will get removed if the file is opened in a newer version of Excel. Learn more: https://go.microsoft.com/fwlink/?linkid=870924
Comment:
    Source: US Department of Energy. Furnaces &amp; Boilers. Retrieved 23.03.2020 from: https://www.energy.gov/energysaver/home-heating-systems/furnaces-and-boilers</t>
      </text>
    </comment>
    <comment ref="D73" authorId="6" shapeId="0" xr:uid="{00000000-0006-0000-0D00-000007000000}">
      <text>
        <t>[Threaded comment]
Your version of Excel allows you to read this threaded comment; however, any edits to it will get removed if the file is opened in a newer version of Excel. Learn more: https://go.microsoft.com/fwlink/?linkid=870924
Comment:
    Source: US Department of Energy. Home Cooling Energy Saver 101. Retrieved 23.03.2020 from: https://www.energy.gov/articles/energy-saver-101-infographic-home-cooling</t>
      </text>
    </comment>
    <comment ref="D74" authorId="7" shapeId="0" xr:uid="{00000000-0006-0000-0D00-000008000000}">
      <text>
        <t>[Threaded comment]
Your version of Excel allows you to read this threaded comment; however, any edits to it will get removed if the file is opened in a newer version of Excel. Learn more: https://go.microsoft.com/fwlink/?linkid=870924
Comment:
    Source: FCM Energy Roadmap. Technology Factsheet: Lighting &amp; Plug Loads. 2019.</t>
      </text>
    </comment>
    <comment ref="D75" authorId="8" shapeId="0" xr:uid="{00000000-0006-0000-0D00-000009000000}">
      <text>
        <t>[Threaded comment]
Your version of Excel allows you to read this threaded comment; however, any edits to it will get removed if the file is opened in a newer version of Excel. Learn more: https://go.microsoft.com/fwlink/?linkid=870924
Comment:
    Source: FCM Energy Roadmap. Technology Factsheet: Water Heating. 2019.</t>
      </text>
    </comment>
    <comment ref="D77" authorId="9" shapeId="0" xr:uid="{00000000-0006-0000-0D00-00000A000000}">
      <text>
        <t>[Threaded comment]
Your version of Excel allows you to read this threaded comment; however, any edits to it will get removed if the file is opened in a newer version of Excel. Learn more: https://go.microsoft.com/fwlink/?linkid=870924
Comment:
    Source: FCM Energy Roadmap. Technology Factsheet: Water Heating. 2019.</t>
      </text>
    </comment>
    <comment ref="D82" authorId="10" shapeId="0" xr:uid="{00000000-0006-0000-0D00-00000B000000}">
      <text>
        <t>[Threaded comment]
Your version of Excel allows you to read this threaded comment; however, any edits to it will get removed if the file is opened in a newer version of Excel. Learn more: https://go.microsoft.com/fwlink/?linkid=870924
Comment:
    Source: NRCan. Energy Efficiency Regulations: Gas furnaces. Retrieved 23.03.2020 from: https://www.nrcan.gc.ca/energy-efficiency/energy-efficiency-regulations/guide-canadas-energy-efficiency/gas-furnaces/6879</t>
      </text>
    </comment>
    <comment ref="D83" authorId="11" shapeId="0" xr:uid="{00000000-0006-0000-0D00-00000C000000}">
      <text>
        <t>[Threaded comment]
Your version of Excel allows you to read this threaded comment; however, any edits to it will get removed if the file is opened in a newer version of Excel. Learn more: https://go.microsoft.com/fwlink/?linkid=870924
Comment:
    NRCan. Energy Efficiency Regulations: Oil-fired furnaces. Retrieved 23.03.2020 from: https://www.nrcan.gc.ca/energy-efficiency/energy-efficiency-regulations/guide-canadas-energy-efficiency-regulations/oil-fired-furnaces/6887</t>
      </text>
    </comment>
  </commentList>
</comments>
</file>

<file path=xl/sharedStrings.xml><?xml version="1.0" encoding="utf-8"?>
<sst xmlns="http://schemas.openxmlformats.org/spreadsheetml/2006/main" count="970" uniqueCount="460">
  <si>
    <t xml:space="preserve"> Environmental Benefits Quantification</t>
  </si>
  <si>
    <t>Introduction</t>
  </si>
  <si>
    <t>Overview</t>
  </si>
  <si>
    <t>Important: Most calculations and background inputs in the workbook are fixed. Please fill in the Yellow and Blue cells as per the instructions below.</t>
  </si>
  <si>
    <t>Please fill in the following yellow cells:
1) In Step 1, enter the Province/Territory where your program is based. 
2) In Step 2, enter information about the anticipated measures completed through your program.
3) In Step 3, review your program's projected benefits.</t>
  </si>
  <si>
    <t>Legend:</t>
  </si>
  <si>
    <t>Yellow - cells that must be filled</t>
  </si>
  <si>
    <t>Blue - cells that can be filled/modified</t>
  </si>
  <si>
    <t>Step 1: Enter your Province / Territory</t>
  </si>
  <si>
    <t>What Province/Territory is your program based in?</t>
  </si>
  <si>
    <t>Province/Territory:</t>
  </si>
  <si>
    <t>QC</t>
  </si>
  <si>
    <t>GJ of energy used per household</t>
  </si>
  <si>
    <t>tCO2e produced per household</t>
  </si>
  <si>
    <t>tCO2e / GJ</t>
  </si>
  <si>
    <t>Electricity</t>
  </si>
  <si>
    <t>Natural Gas</t>
  </si>
  <si>
    <t>Heating Oil</t>
  </si>
  <si>
    <t>Wood</t>
  </si>
  <si>
    <t>Other</t>
  </si>
  <si>
    <t>TOTAL</t>
  </si>
  <si>
    <t>Step 2: Estimate High-Level Program Uptake</t>
  </si>
  <si>
    <t>Total number of participating homes:</t>
  </si>
  <si>
    <t>Measure Category</t>
  </si>
  <si>
    <t>Number of upgrade projects</t>
  </si>
  <si>
    <t>Average energy consumption reduction</t>
  </si>
  <si>
    <t>Note</t>
  </si>
  <si>
    <t>Unit</t>
  </si>
  <si>
    <t>#</t>
  </si>
  <si>
    <t>%</t>
  </si>
  <si>
    <t>Energy Efficiency</t>
  </si>
  <si>
    <t xml:space="preserve">Deep energy retrofits </t>
  </si>
  <si>
    <t>Light energy retrofits</t>
  </si>
  <si>
    <t>Renewable Energy</t>
  </si>
  <si>
    <r>
      <t xml:space="preserve">Solar PV </t>
    </r>
    <r>
      <rPr>
        <i/>
        <sz val="11"/>
        <rFont val="Calibri"/>
        <family val="2"/>
        <scheme val="minor"/>
      </rPr>
      <t>(5 kW system)</t>
    </r>
  </si>
  <si>
    <t>Solar Thermal</t>
  </si>
  <si>
    <t>Additional</t>
  </si>
  <si>
    <t>Is heating electrification eligible in your program?</t>
  </si>
  <si>
    <t>Step 3: Review Projected Program Benefits</t>
  </si>
  <si>
    <t>Total anticipated energy consumption reduction</t>
  </si>
  <si>
    <t>Total anticipated GHG emission reduction</t>
  </si>
  <si>
    <t>Baseline energy consumption</t>
  </si>
  <si>
    <t>Baseline GHG emission</t>
  </si>
  <si>
    <t>% energy consumption reduction</t>
  </si>
  <si>
    <t>% GHG emission reduction</t>
  </si>
  <si>
    <t>GJ/yr</t>
  </si>
  <si>
    <t>tCO2e/yr</t>
  </si>
  <si>
    <t>Program Total</t>
  </si>
  <si>
    <t>Program Uptake and Results Calculations</t>
  </si>
  <si>
    <t>Deep Retrofit Measures</t>
  </si>
  <si>
    <t>Light Retrofit Measures</t>
  </si>
  <si>
    <t>Average energy consumption reduction in the category</t>
  </si>
  <si>
    <t>Average energy consumption of category as percentage of home</t>
  </si>
  <si>
    <t>Average GHG Emission Reduction</t>
  </si>
  <si>
    <t>Select</t>
  </si>
  <si>
    <t>Deep home retrofit</t>
  </si>
  <si>
    <t>N/A</t>
  </si>
  <si>
    <t>Light home retrofit</t>
  </si>
  <si>
    <t>Individual measures:</t>
  </si>
  <si>
    <t>Direct input as alternative to providing numbers above</t>
  </si>
  <si>
    <t>x</t>
  </si>
  <si>
    <t>Fuel Switching (NG)</t>
  </si>
  <si>
    <t>Space heating only; Natural Gas to Elec Heat Pump</t>
  </si>
  <si>
    <t>Fuel Switching (Oil)</t>
  </si>
  <si>
    <t>Space heating only; Oil to Elec Heat Pump</t>
  </si>
  <si>
    <t>Program Benefits Breakdown</t>
  </si>
  <si>
    <t>Program Benefits</t>
  </si>
  <si>
    <t>Baseline</t>
  </si>
  <si>
    <t>Comparison</t>
  </si>
  <si>
    <t>Baseline average household GHG emission</t>
  </si>
  <si>
    <t>CEF Application - Environmental Benefit - Calculation Workbook</t>
  </si>
  <si>
    <t>Provincial Energy Use &amp; GHG Data</t>
  </si>
  <si>
    <t>GJ of energy used per household by energy source in residential single family buildings in 2016 across Canada</t>
  </si>
  <si>
    <t>Energy source</t>
  </si>
  <si>
    <t>BC</t>
  </si>
  <si>
    <t>AB</t>
  </si>
  <si>
    <t>SK</t>
  </si>
  <si>
    <t>MB</t>
  </si>
  <si>
    <t>ON</t>
  </si>
  <si>
    <t>NB</t>
  </si>
  <si>
    <t>NS</t>
  </si>
  <si>
    <t>NL</t>
  </si>
  <si>
    <t>PE</t>
  </si>
  <si>
    <t>TR</t>
  </si>
  <si>
    <t>Total</t>
  </si>
  <si>
    <t>tCO2e of carbon produced per household by energy source from residential single family buildings in 2016 across Canada</t>
  </si>
  <si>
    <t>Residential energy use by end use (PJ)</t>
  </si>
  <si>
    <t>End-use</t>
  </si>
  <si>
    <t>Tr</t>
  </si>
  <si>
    <t>Space Heating</t>
  </si>
  <si>
    <t>Water Heating</t>
  </si>
  <si>
    <t>Appliances</t>
  </si>
  <si>
    <t>Lighting</t>
  </si>
  <si>
    <t>Space Cooling</t>
  </si>
  <si>
    <t>% share</t>
  </si>
  <si>
    <t>Heating system stock in residential single family building in 2016 across Canada (thousands of units)</t>
  </si>
  <si>
    <t>Heating system type</t>
  </si>
  <si>
    <t>Gas</t>
  </si>
  <si>
    <t>Electric &amp; Heat Pump</t>
  </si>
  <si>
    <t>Wood &amp; Other</t>
  </si>
  <si>
    <t>Dual Systems</t>
  </si>
  <si>
    <t>Fuel switching</t>
  </si>
  <si>
    <t>Numerator</t>
  </si>
  <si>
    <t>Natural Gas Proportion</t>
  </si>
  <si>
    <t>Oil Proportion</t>
  </si>
  <si>
    <t>Measure data</t>
  </si>
  <si>
    <t>Solar Production</t>
  </si>
  <si>
    <t>Province</t>
  </si>
  <si>
    <t>kWh a year /kW installed</t>
  </si>
  <si>
    <t xml:space="preserve">1GJ = </t>
  </si>
  <si>
    <t>kWh</t>
  </si>
  <si>
    <t>NU</t>
  </si>
  <si>
    <t>NT</t>
  </si>
  <si>
    <t>YT</t>
  </si>
  <si>
    <t>Other measures</t>
  </si>
  <si>
    <t>Average energy consumption reduction in the category (%)</t>
  </si>
  <si>
    <t>Insulation</t>
  </si>
  <si>
    <t>Fuel Switching</t>
  </si>
  <si>
    <t>Pre-fuel switch furnace efficiency (%)</t>
  </si>
  <si>
    <t>Post-fuel switch heat pump efficiency (%)</t>
  </si>
  <si>
    <t>NG to Elec Heat Pump</t>
  </si>
  <si>
    <t>Oil to Elec Heat Pump</t>
  </si>
  <si>
    <t>Homes fuel switching (assumption):</t>
  </si>
  <si>
    <t>(12) Travel and accommodation</t>
  </si>
  <si>
    <t>(8) Services</t>
  </si>
  <si>
    <t>(3) Advertising</t>
  </si>
  <si>
    <t xml:space="preserve">(2) Administrative </t>
  </si>
  <si>
    <t>Feasibility Study</t>
  </si>
  <si>
    <t>Private</t>
  </si>
  <si>
    <t>NGO/Other</t>
  </si>
  <si>
    <t>Municipally Owned Corporation</t>
  </si>
  <si>
    <t>Municipal</t>
  </si>
  <si>
    <t>[Add any other relevant details about your work plan and budget here]</t>
  </si>
  <si>
    <t>Other notes:</t>
  </si>
  <si>
    <t>[Add explanation about contingency here]</t>
  </si>
  <si>
    <t>Contingency costs: Have you included room for contingencies in some or all of your task costs? Please explain.</t>
  </si>
  <si>
    <t xml:space="preserve">                 Total eligible costs</t>
  </si>
  <si>
    <t xml:space="preserve">Total – All phases </t>
  </si>
  <si>
    <t>Subtotal</t>
  </si>
  <si>
    <t>[Add task description here]</t>
  </si>
  <si>
    <t>Milestone description: [e.g Perform progam evaluation and final reporting]</t>
  </si>
  <si>
    <t>mm/yyyy</t>
  </si>
  <si>
    <t>Program Wrap-up</t>
  </si>
  <si>
    <t>National peer learning workshops convened by FCM (travel &amp; accommodation for up to 3 project team members)</t>
  </si>
  <si>
    <t>Milestone description: [In this box, please describe the milestone or the major deliverable that indicates the completion of this milestone]</t>
  </si>
  <si>
    <t>Year 4 Implementation</t>
  </si>
  <si>
    <t>Year 3 Implementation</t>
  </si>
  <si>
    <t>Billing Systems IT upgrades</t>
  </si>
  <si>
    <t>Promotional brochures</t>
  </si>
  <si>
    <t>Staffing Program Coordinator Salary</t>
  </si>
  <si>
    <t>Year 2 Implementation</t>
  </si>
  <si>
    <t>Design of Promotional Collateral</t>
  </si>
  <si>
    <t>Milestone description: [e.g. Undertake home energy retrofits and deliver financing]</t>
  </si>
  <si>
    <t>Year 1 Implementation</t>
  </si>
  <si>
    <t>Website Development</t>
  </si>
  <si>
    <t>Pace Legal Opinion</t>
  </si>
  <si>
    <t>Milestone description: [e.g Research, legal and progam design activities in preparation for program launch]</t>
  </si>
  <si>
    <t>Program Start-up</t>
  </si>
  <si>
    <t>Total cost ($)</t>
  </si>
  <si>
    <t>Ineligible cost ($)</t>
  </si>
  <si>
    <t>Eligible cost ($)</t>
  </si>
  <si>
    <t>Cost category (select one)</t>
  </si>
  <si>
    <t>End date:</t>
  </si>
  <si>
    <t>Start date:</t>
  </si>
  <si>
    <t>Milestones</t>
  </si>
  <si>
    <t>Project type (select one)</t>
  </si>
  <si>
    <t>Project title:</t>
  </si>
  <si>
    <t>Applicant type (select one)</t>
  </si>
  <si>
    <t>Lead applicant:</t>
  </si>
  <si>
    <t>Name of third-party lender:</t>
  </si>
  <si>
    <t xml:space="preserve">Third-party </t>
  </si>
  <si>
    <t>GMF</t>
  </si>
  <si>
    <t>Identify the source of capital to be used for lending to homeowners for home energy upgrade projects (indicate with an X) and percentage (%) for each funding source</t>
  </si>
  <si>
    <t>Note to applicant:</t>
  </si>
  <si>
    <t>Total expenditure of home energy upgrades net of incentives/rebates</t>
  </si>
  <si>
    <r>
      <t>Actual rebates and incentives</t>
    </r>
    <r>
      <rPr>
        <i/>
        <u/>
        <sz val="12"/>
        <color theme="1"/>
        <rFont val="Calibri"/>
        <family val="2"/>
        <scheme val="minor"/>
      </rPr>
      <t xml:space="preserve"> included in the Operating Budget</t>
    </r>
  </si>
  <si>
    <t>Estimate of average incentive or rebate per home energy upgrade project</t>
  </si>
  <si>
    <t>Estimate of aveage cost of home energy upgrades including energy assessments, equipment and material, labour and taxes, as applicable</t>
  </si>
  <si>
    <t xml:space="preserve">Estimate of the total number of home energy upgrade projects to be completed </t>
  </si>
  <si>
    <t>Total Capital Expenditure Forecast ($)</t>
  </si>
  <si>
    <t>Total Incentives or Rebates provided by Lead Applicant ($)</t>
  </si>
  <si>
    <t>Average Incentive or Rebate provided by third-party ($)</t>
  </si>
  <si>
    <t>Average Cost                       of Project ($)</t>
  </si>
  <si>
    <t xml:space="preserve">Home Energy Upgrade Projects (#) </t>
  </si>
  <si>
    <t>Milestone</t>
  </si>
  <si>
    <t xml:space="preserve">Private </t>
  </si>
  <si>
    <t>In-kind</t>
  </si>
  <si>
    <t xml:space="preserve">Municipal </t>
  </si>
  <si>
    <t>Cash</t>
  </si>
  <si>
    <t>NO</t>
  </si>
  <si>
    <t xml:space="preserve">Provincial </t>
  </si>
  <si>
    <t>Grant</t>
  </si>
  <si>
    <t>YES</t>
  </si>
  <si>
    <t xml:space="preserve">Federal </t>
  </si>
  <si>
    <t>Loan</t>
  </si>
  <si>
    <t>Funding Type list</t>
  </si>
  <si>
    <t>Description List</t>
  </si>
  <si>
    <t>Note: Total Funding MUST EQUAL Budget Total Costs</t>
  </si>
  <si>
    <t>Budget Total Eligible Costs</t>
  </si>
  <si>
    <t>Budget Total Costs</t>
  </si>
  <si>
    <t>Total Funding:</t>
  </si>
  <si>
    <t>Additional Funding Source (please be specific)</t>
  </si>
  <si>
    <t>Green Municipal Fund</t>
  </si>
  <si>
    <t>Percentage of Total Budget</t>
  </si>
  <si>
    <t>Amount</t>
  </si>
  <si>
    <t>Confirmed (Y/N)</t>
  </si>
  <si>
    <t>Funding Type</t>
  </si>
  <si>
    <t>Description</t>
  </si>
  <si>
    <t>Fund Source</t>
  </si>
  <si>
    <t>Estimated Total Operating Cost ($)</t>
  </si>
  <si>
    <t>Milestone Description</t>
  </si>
  <si>
    <r>
      <t xml:space="preserve">▪ DELETING ROWS: </t>
    </r>
    <r>
      <rPr>
        <sz val="11"/>
        <color theme="1"/>
        <rFont val="Calibri"/>
        <family val="2"/>
      </rPr>
      <t>Rows cannot be deleted, due to the template’s structure. Leave extra or empty rows blank.</t>
    </r>
  </si>
  <si>
    <r>
      <t xml:space="preserve">▪ TAXES: </t>
    </r>
    <r>
      <rPr>
        <sz val="11"/>
        <color theme="1"/>
        <rFont val="Calibri"/>
        <family val="2"/>
      </rPr>
      <t>You may include the portion of taxes for which your organization is not eligible for a rebate (provincial, territorial, or federal) in your budget. Allocate this amount within the relevant tasks as and where appropriate.</t>
    </r>
  </si>
  <si>
    <r>
      <rPr>
        <sz val="11"/>
        <color theme="1"/>
        <rFont val="Calibri"/>
        <family val="2"/>
      </rPr>
      <t xml:space="preserve">▪ </t>
    </r>
    <r>
      <rPr>
        <b/>
        <sz val="11"/>
        <color theme="1"/>
        <rFont val="Calibri"/>
        <family val="2"/>
      </rPr>
      <t>CONTINGENCY COSTS:</t>
    </r>
    <r>
      <rPr>
        <sz val="11"/>
        <color theme="1"/>
        <rFont val="Calibri"/>
        <family val="2"/>
      </rPr>
      <t xml:space="preserve"> Contingency costs are eligible, but cannot be listed as a separate budget item. Allocate contingency costs within the relevant budget items as and where appropriate, and add an explanation of the contingency percentage or amount in the “Contingency costs” section below the workplan table.</t>
    </r>
  </si>
  <si>
    <r>
      <t xml:space="preserve">▪ TASK: </t>
    </r>
    <r>
      <rPr>
        <sz val="11"/>
        <rFont val="Calibri"/>
        <family val="2"/>
      </rPr>
      <t>A task is defined as a single activity undertaken to achieve a milestone. For each task identified, provide a description of what the task entails, who will be completing the task, and estimate the cost. Individual tasks should generally be less than $50,000. Costs should be separated into eligible and ineligible categories. Refer to the eligible and ineligible costs tab for a list of costs that can be partially reimbursed by FCM.</t>
    </r>
  </si>
  <si>
    <r>
      <rPr>
        <b/>
        <sz val="11"/>
        <color theme="1"/>
        <rFont val="Calibri"/>
        <family val="2"/>
      </rPr>
      <t xml:space="preserve">▪ MILESTONE: </t>
    </r>
    <r>
      <rPr>
        <sz val="11"/>
        <color theme="1"/>
        <rFont val="Calibri"/>
        <family val="2"/>
      </rPr>
      <t xml:space="preserve">A milestone is a major deliverable or deliverables indicating the completion of one or more task. Disbursements will be made upon completion of determined milestones. 
           </t>
    </r>
  </si>
  <si>
    <t>INSTRUCTIONS - PLEASE READ FIRST</t>
  </si>
  <si>
    <t xml:space="preserve"> </t>
  </si>
  <si>
    <t>13) In-kind</t>
  </si>
  <si>
    <t>The portion of taxes for which your organization is eligible for rebate (provincial, territorial, or federal).</t>
  </si>
  <si>
    <t>The portion of taxes for which your organization is not otherwise eligible for rebate.</t>
  </si>
  <si>
    <t>Any transportation expense related to ongoing or other business activities.</t>
  </si>
  <si>
    <t>Costs for engineering studies, audit studies or feasibility studies for which grants or contributions are provided by or committed to be provided by any program of the Government of Canada.</t>
  </si>
  <si>
    <r>
      <t>Fees for professional or technical consultants and contractors.</t>
    </r>
    <r>
      <rPr>
        <sz val="9.5"/>
        <color rgb="FF000000"/>
        <rFont val="Arial"/>
        <family val="2"/>
      </rPr>
      <t xml:space="preserve"> </t>
    </r>
  </si>
  <si>
    <r>
      <t>·</t>
    </r>
    <r>
      <rPr>
        <sz val="7"/>
        <color theme="1"/>
        <rFont val="Times New Roman"/>
        <family val="1"/>
      </rPr>
      <t xml:space="preserve">         </t>
    </r>
    <r>
      <rPr>
        <sz val="9.5"/>
        <color theme="1"/>
        <rFont val="Calibri"/>
        <family val="2"/>
        <scheme val="minor"/>
      </rPr>
      <t>music</t>
    </r>
  </si>
  <si>
    <r>
      <t>·</t>
    </r>
    <r>
      <rPr>
        <sz val="7"/>
        <color theme="1"/>
        <rFont val="Times New Roman"/>
        <family val="1"/>
      </rPr>
      <t xml:space="preserve">         </t>
    </r>
    <r>
      <rPr>
        <sz val="9.5"/>
        <color theme="1"/>
        <rFont val="Calibri"/>
        <family val="2"/>
        <scheme val="minor"/>
      </rPr>
      <t>entertainment</t>
    </r>
  </si>
  <si>
    <r>
      <t>·</t>
    </r>
    <r>
      <rPr>
        <sz val="7"/>
        <color theme="1"/>
        <rFont val="Times New Roman"/>
        <family val="1"/>
      </rPr>
      <t xml:space="preserve">         </t>
    </r>
    <r>
      <rPr>
        <sz val="9.5"/>
        <color theme="1"/>
        <rFont val="Calibri"/>
        <family val="2"/>
        <scheme val="minor"/>
      </rPr>
      <t>door prizes</t>
    </r>
  </si>
  <si>
    <r>
      <t>·</t>
    </r>
    <r>
      <rPr>
        <sz val="7"/>
        <color theme="1"/>
        <rFont val="Times New Roman"/>
        <family val="1"/>
      </rPr>
      <t xml:space="preserve">         </t>
    </r>
    <r>
      <rPr>
        <sz val="9.5"/>
        <color theme="1"/>
        <rFont val="Calibri"/>
        <family val="2"/>
        <scheme val="minor"/>
      </rPr>
      <t>alcohol</t>
    </r>
  </si>
  <si>
    <r>
      <t>·</t>
    </r>
    <r>
      <rPr>
        <sz val="7"/>
        <color theme="1"/>
        <rFont val="Times New Roman"/>
        <family val="1"/>
      </rPr>
      <t xml:space="preserve">         </t>
    </r>
    <r>
      <rPr>
        <sz val="9.5"/>
        <color theme="1"/>
        <rFont val="Calibri"/>
        <family val="2"/>
        <scheme val="minor"/>
      </rPr>
      <t>audiovisual equipment rental</t>
    </r>
  </si>
  <si>
    <r>
      <t>·</t>
    </r>
    <r>
      <rPr>
        <sz val="7"/>
        <color theme="1"/>
        <rFont val="Times New Roman"/>
        <family val="1"/>
      </rPr>
      <t xml:space="preserve">         </t>
    </r>
    <r>
      <rPr>
        <sz val="9.5"/>
        <color theme="1"/>
        <rFont val="Calibri"/>
        <family val="2"/>
        <scheme val="minor"/>
      </rPr>
      <t>food and drink</t>
    </r>
  </si>
  <si>
    <t>Any hospitality expenses such as:</t>
  </si>
  <si>
    <t>Rental of tools or equipment related to ongoing or other business activities.</t>
  </si>
  <si>
    <t>•    public surveys</t>
  </si>
  <si>
    <t>•    website development</t>
  </si>
  <si>
    <t>3) Advertising</t>
  </si>
  <si>
    <t xml:space="preserve">•    document translation </t>
  </si>
  <si>
    <t xml:space="preserve">•    acquisition of documents used exclusively for the project </t>
  </si>
  <si>
    <t xml:space="preserve">•   printing or photocopying by outside suppliers </t>
  </si>
  <si>
    <t xml:space="preserve">•   permits or certifications required for the project </t>
  </si>
  <si>
    <t xml:space="preserve">•    communication costs (e.g. long-distance calls or faxes) </t>
  </si>
  <si>
    <r>
      <t>Office space, supplies and general overhead costs incurred in the ordinary course of business</t>
    </r>
    <r>
      <rPr>
        <sz val="10"/>
        <color theme="1"/>
        <rFont val="Calibri"/>
        <family val="2"/>
        <scheme val="minor"/>
      </rPr>
      <t>.</t>
    </r>
  </si>
  <si>
    <t>2) Administrative</t>
  </si>
  <si>
    <t>Section B: Costs incurred after date application received by FCM</t>
  </si>
  <si>
    <t>All other costs incurred prior to application receipt date</t>
  </si>
  <si>
    <t>Consulting costs to write the GMF application incurred up to 90 days prior to application receipt date</t>
  </si>
  <si>
    <t>Section A: Costs incurred prior to date application received by FCM</t>
  </si>
  <si>
    <t>Ineligible costs</t>
  </si>
  <si>
    <t>Eligible costs</t>
  </si>
  <si>
    <t>Cost Category</t>
  </si>
  <si>
    <t>·        listed in a statement of expenses attached to an external audit report. You must keep all invoices, receipts and backup documents for seven years after the final FCM disbursement.</t>
  </si>
  <si>
    <t>·        actually and reasonably incurred in accordance with applicable industry standards.</t>
  </si>
  <si>
    <t>·        an integral and an essential component of the initiative and required to help achieve the environmental objective of the initiative (e.g. installation of energy efficient equipment, renovation contractor outreach and training).</t>
  </si>
  <si>
    <t>·        invoiced directly to your organization.</t>
  </si>
  <si>
    <t>·        incurred after the date the application is received by FCM (with an exception being the cost to prepare the application incurred up to 90 days prior to the application receipt date).</t>
  </si>
  <si>
    <t>Note: If your application is approved, expenses that are eligible for partial reimbursement must be:</t>
  </si>
  <si>
    <t>This table outlines what costs can be partially reimbursed by FCM. Please pay particular attention to any costs that may be deemed ineligible by FCM.</t>
  </si>
  <si>
    <r>
      <t xml:space="preserve">▪ DATA CELLS &amp; FORMULAS: </t>
    </r>
    <r>
      <rPr>
        <sz val="11"/>
        <color theme="1"/>
        <rFont val="Calibri"/>
        <family val="2"/>
      </rPr>
      <t>Throughout the budget sheets, only input data into blue and yellow shaded cells. Do not delete or override cells which may contain formulas for calculations.</t>
    </r>
  </si>
  <si>
    <t>Communtiy Efficiency Financing -  Program Workbook</t>
  </si>
  <si>
    <t>Community Efficiency Financing - Eligible and Ineligible Costs</t>
  </si>
  <si>
    <t>K1:P1K1:V1A1K1:L1K1:U1K1:V1A1K1:LK1:X1</t>
  </si>
  <si>
    <t xml:space="preserve"> Community Efficiency Financing - Environmental Benefits Quantification</t>
  </si>
  <si>
    <t>Deep energy retrofits refers to multi-measure, whole-home retrofits that include: significant envelope/insulation improvements, as well as upgrades to major pieces of equipment such as furnaces, water heaters, and air conditioners. 
Light energy retrofits are less comprehensive projects, that may include simple air-sealing measures, or replacement of just the heating and/or cooling equipment.</t>
  </si>
  <si>
    <t>Once you have completed Steps 1 and 2, please take a moment to review the projected program benefits in the table below. You may indicate in your application any important differences between what you may have determined your program benefits to be and what is quantified in this worksheet.</t>
  </si>
  <si>
    <t>Community Efficiency Financing - Work Plan and Operating Budget</t>
  </si>
  <si>
    <t>Community Efficiency Financing - Capital Budget</t>
  </si>
  <si>
    <t xml:space="preserve">Community Efficiency Financing - Sources of Funding </t>
  </si>
  <si>
    <r>
      <t>▪ START/END DATES:</t>
    </r>
    <r>
      <rPr>
        <sz val="11"/>
        <rFont val="Calibri"/>
        <family val="2"/>
      </rPr>
      <t xml:space="preserve"> Enter the estimated start and end dates for each milestone. Projects must be completed within four years from the date a contract is executed between the recipient and FCM. This requirement will be noted in your contract with FCM.</t>
    </r>
    <r>
      <rPr>
        <b/>
        <sz val="11"/>
        <rFont val="Calibri"/>
        <family val="2"/>
      </rPr>
      <t xml:space="preserve">
</t>
    </r>
  </si>
  <si>
    <t>No</t>
  </si>
  <si>
    <r>
      <t>·</t>
    </r>
    <r>
      <rPr>
        <sz val="7"/>
        <color theme="1"/>
        <rFont val="Times New Roman"/>
        <family val="1"/>
      </rPr>
      <t xml:space="preserve">         </t>
    </r>
    <r>
      <rPr>
        <sz val="9.5"/>
        <color theme="1"/>
        <rFont val="Calibri"/>
        <family val="2"/>
        <scheme val="minor"/>
      </rPr>
      <t>facility rental</t>
    </r>
  </si>
  <si>
    <t xml:space="preserve">                                                                                                                                                                                            WORK PLAN AND BUDGET </t>
  </si>
  <si>
    <t>Total advanced contribution allowable</t>
  </si>
  <si>
    <r>
      <t>To be eligible for an advanced contribution applicants must have all sources of funding confirmed and their project delivery team in place. 
FCM will conduct a risk assessment upon approval of your application to determine the total allowable advanced contribution. Based on applicant type, the following maximum amounts may be available:
-</t>
    </r>
    <r>
      <rPr>
        <u/>
        <sz val="11"/>
        <color theme="1"/>
        <rFont val="Calibri"/>
        <family val="2"/>
      </rPr>
      <t xml:space="preserve">Municipalities and municipally owned corporations </t>
    </r>
    <r>
      <rPr>
        <sz val="11"/>
        <color theme="1"/>
        <rFont val="Calibri"/>
        <family val="2"/>
      </rPr>
      <t>may be eligible to receive up to 70% grant funding upfront at the time of grant agreement signature.
-</t>
    </r>
    <r>
      <rPr>
        <u/>
        <sz val="11"/>
        <color theme="1"/>
        <rFont val="Calibri"/>
        <family val="2"/>
      </rPr>
      <t>NGOs and other non-profit entities</t>
    </r>
    <r>
      <rPr>
        <sz val="11"/>
        <color theme="1"/>
        <rFont val="Calibri"/>
        <family val="2"/>
      </rPr>
      <t xml:space="preserve"> may be eligible to receive up to 50% of grant funding upfront at the time of grant agreement signature. 
</t>
    </r>
    <r>
      <rPr>
        <u/>
        <sz val="11"/>
        <color theme="1"/>
        <rFont val="Calibri"/>
        <family val="2"/>
      </rPr>
      <t>-For-profit entities</t>
    </r>
    <r>
      <rPr>
        <sz val="11"/>
        <color theme="1"/>
        <rFont val="Calibri"/>
        <family val="2"/>
      </rPr>
      <t xml:space="preserve">, as determined by FCM, are not eligible for an advanced contribution </t>
    </r>
  </si>
  <si>
    <t>Would you like to be considered for an advanced contribution? (select YES or NO)</t>
  </si>
  <si>
    <t>(1) Pre-application</t>
  </si>
  <si>
    <t>Community Efficiency Financing - Milestone Summary</t>
  </si>
  <si>
    <t>[Total should be equal to the sum indicated in the budget - Work Plan tab]</t>
  </si>
  <si>
    <t>1) Pre-application</t>
  </si>
  <si>
    <t xml:space="preserve">FCM's expectation is that your study will provide the environmental benefit information below. However, at this stage, please complete the tables below to the best of your ability and estimate the environmental benefits of the studied program.
This tool has been developed to assist applicants in developing a high-level estimate of their program's GHG impacts, and to aid FCM in projecting the overall CEF impacts. This tool will not be used for program impact evaluation, and does not replace a feasibility study. 
</t>
  </si>
  <si>
    <t>(4) Equipment rental</t>
  </si>
  <si>
    <t>(5) Meetings and public gatherings</t>
  </si>
  <si>
    <t>(6) Services</t>
  </si>
  <si>
    <t>(7) Staff remuneration</t>
  </si>
  <si>
    <t>(8) Supplies and materials</t>
  </si>
  <si>
    <t>(9) Transportation, shipping and courier charges</t>
  </si>
  <si>
    <t>(10) Travel and accommodation</t>
  </si>
  <si>
    <t>(11) Taxes</t>
  </si>
  <si>
    <t>(12) In-Kind</t>
  </si>
  <si>
    <t>4) Equipment rental</t>
  </si>
  <si>
    <t>5) Meetings and public gatherings</t>
  </si>
  <si>
    <t>6) Services</t>
  </si>
  <si>
    <t>7) Staff Remuneration</t>
  </si>
  <si>
    <t>9) Transportation, shipping and courier charges</t>
  </si>
  <si>
    <t>10)  Travel and accommodation</t>
  </si>
  <si>
    <t>11) Taxes</t>
  </si>
  <si>
    <t>12) In-kind</t>
  </si>
  <si>
    <t>Report writing</t>
  </si>
  <si>
    <t xml:space="preserve">Please use the information provided in your study to complete the tables below.
This tool has been developed to assist applicants in developing a high-level estimate of their program's GHG impacts, and to aid FCM in projecting the overall CEF impacts. This tool will not be used for program impact evaluation, and does not replace a feasibility study. </t>
  </si>
  <si>
    <t>A short summary of key activities to be undertaken by applicant</t>
  </si>
  <si>
    <t>Program Evaluation Study</t>
  </si>
  <si>
    <t>13) Training</t>
  </si>
  <si>
    <t>(13) Training</t>
  </si>
  <si>
    <r>
      <t xml:space="preserve">Advanced contribution </t>
    </r>
    <r>
      <rPr>
        <b/>
        <sz val="14"/>
        <rFont val="Calibri"/>
        <family val="2"/>
      </rPr>
      <t>(prior to GMF verification)</t>
    </r>
  </si>
  <si>
    <t>Payment and reporting table</t>
  </si>
  <si>
    <t>Contribution(s) and Deliverable(s)</t>
  </si>
  <si>
    <t>Expected Date of Contribution</t>
  </si>
  <si>
    <t>The Contribution shall be equal to:</t>
  </si>
  <si>
    <t>[EXAMPLE] Project Officer to insert customized table</t>
  </si>
  <si>
    <t xml:space="preserve">Advanced Contribution #1 </t>
  </si>
  <si>
    <t>Within 30 days of executed Agreement 
+
receipt of void cheque</t>
  </si>
  <si>
    <t>$INSERT AMOUNT CALCULATED AT TIME OF PROJECT APPROVAL</t>
  </si>
  <si>
    <r>
      <t>·</t>
    </r>
    <r>
      <rPr>
        <sz val="11"/>
        <color theme="1"/>
        <rFont val="Times New Roman"/>
        <family val="1"/>
      </rPr>
      <t xml:space="preserve">         </t>
    </r>
    <r>
      <rPr>
        <sz val="11"/>
        <color theme="1"/>
        <rFont val="Calibri"/>
        <family val="2"/>
        <scheme val="minor"/>
      </rPr>
      <t>Executed Grant Agreement</t>
    </r>
  </si>
  <si>
    <r>
      <t>·</t>
    </r>
    <r>
      <rPr>
        <sz val="11"/>
        <color theme="1"/>
        <rFont val="Times New Roman"/>
        <family val="1"/>
      </rPr>
      <t xml:space="preserve">         </t>
    </r>
    <r>
      <rPr>
        <sz val="11"/>
        <color theme="1"/>
        <rFont val="Calibri"/>
        <family val="2"/>
        <scheme val="minor"/>
      </rPr>
      <t>Void Cheque</t>
    </r>
  </si>
  <si>
    <t>Approximate Date of Submission</t>
  </si>
  <si>
    <t>Approximate Date of Contribution</t>
  </si>
  <si>
    <t>The Contribution shall be equal to the lesser of:</t>
  </si>
  <si>
    <r>
      <t>Contribution</t>
    </r>
    <r>
      <rPr>
        <sz val="12"/>
        <color theme="1"/>
        <rFont val="Calibri"/>
        <family val="2"/>
        <scheme val="minor"/>
      </rPr>
      <t> </t>
    </r>
    <r>
      <rPr>
        <b/>
        <sz val="12"/>
        <color theme="1"/>
        <rFont val="Calibri"/>
        <family val="2"/>
        <scheme val="minor"/>
      </rPr>
      <t xml:space="preserve"> #2</t>
    </r>
  </si>
  <si>
    <t>INSERT DATE GMF EXPECTS TO RECEIVE COMPLETED REQUEST</t>
  </si>
  <si>
    <t>INSERT DATE 30 DAYS AFTER SUBMISSION DATE</t>
  </si>
  <si>
    <t>$INSERT COMBINED AMOUNT OF CONTRIBUTIONS 1 AND 2, THIS MUST BE A MAXIMUM OF 75% OF TOTAL GRANT  less the amount of previous Contributions; or 
INSERT 50 OR 80 AS IDENTIFIED IN APPROVAL% of Eligible Costs then incurred by the Recipient less the amount of previous Contributions</t>
  </si>
  <si>
    <r>
      <t>·</t>
    </r>
    <r>
      <rPr>
        <sz val="11"/>
        <color theme="1"/>
        <rFont val="Times New Roman"/>
        <family val="1"/>
      </rPr>
      <t>        </t>
    </r>
    <r>
      <rPr>
        <sz val="11"/>
        <color theme="1"/>
        <rFont val="Calibri"/>
        <family val="2"/>
        <scheme val="minor"/>
      </rPr>
      <t xml:space="preserve"> Schedule D – Request for Contribution </t>
    </r>
  </si>
  <si>
    <r>
      <t>·</t>
    </r>
    <r>
      <rPr>
        <sz val="11"/>
        <color theme="1"/>
        <rFont val="Times New Roman"/>
        <family val="1"/>
      </rPr>
      <t xml:space="preserve">         </t>
    </r>
    <r>
      <rPr>
        <sz val="11"/>
        <color theme="1"/>
        <rFont val="Calibri"/>
        <family val="2"/>
        <scheme val="minor"/>
      </rPr>
      <t>Schedule E – Project Progress Report</t>
    </r>
  </si>
  <si>
    <r>
      <t>·</t>
    </r>
    <r>
      <rPr>
        <sz val="11"/>
        <color theme="1"/>
        <rFont val="Times New Roman"/>
        <family val="1"/>
      </rPr>
      <t>        </t>
    </r>
    <r>
      <rPr>
        <sz val="11"/>
        <color theme="1"/>
        <rFont val="Calibri"/>
        <family val="2"/>
        <scheme val="minor"/>
      </rPr>
      <t xml:space="preserve"> Evidence that Milestones INSERT APPROPRIATE NUMBERS FROM THE WORKBOOK were completed: INSERT DELIVERABLES IDENTIFIED IN PROJECT WORKBOOK</t>
    </r>
  </si>
  <si>
    <r>
      <t>·</t>
    </r>
    <r>
      <rPr>
        <sz val="11"/>
        <color theme="1"/>
        <rFont val="Times New Roman"/>
        <family val="1"/>
      </rPr>
      <t xml:space="preserve">         </t>
    </r>
    <r>
      <rPr>
        <sz val="11"/>
        <color theme="1"/>
        <rFont val="Calibri"/>
        <family val="2"/>
        <scheme val="minor"/>
      </rPr>
      <t>Updated Project Workbook</t>
    </r>
  </si>
  <si>
    <r>
      <t>o</t>
    </r>
    <r>
      <rPr>
        <sz val="11"/>
        <color theme="1"/>
        <rFont val="Times New Roman"/>
        <family val="1"/>
      </rPr>
      <t xml:space="preserve">    </t>
    </r>
    <r>
      <rPr>
        <sz val="11"/>
        <color theme="1"/>
        <rFont val="Calibri"/>
        <family val="2"/>
        <scheme val="minor"/>
      </rPr>
      <t>Sources of Funding</t>
    </r>
  </si>
  <si>
    <r>
      <t>o</t>
    </r>
    <r>
      <rPr>
        <sz val="11"/>
        <color theme="1"/>
        <rFont val="Times New Roman"/>
        <family val="1"/>
      </rPr>
      <t xml:space="preserve">    </t>
    </r>
    <r>
      <rPr>
        <sz val="11"/>
        <color theme="1"/>
        <rFont val="Calibri"/>
        <family val="2"/>
        <scheme val="minor"/>
      </rPr>
      <t>Payment and Reporting Schedule</t>
    </r>
  </si>
  <si>
    <r>
      <t>o</t>
    </r>
    <r>
      <rPr>
        <sz val="11"/>
        <color theme="1"/>
        <rFont val="Times New Roman"/>
        <family val="1"/>
      </rPr>
      <t xml:space="preserve">    </t>
    </r>
    <r>
      <rPr>
        <sz val="11"/>
        <color theme="1"/>
        <rFont val="Calibri"/>
        <family val="2"/>
        <scheme val="minor"/>
      </rPr>
      <t>Expense Claim</t>
    </r>
  </si>
  <si>
    <r>
      <t>·</t>
    </r>
    <r>
      <rPr>
        <sz val="11"/>
        <color theme="1"/>
        <rFont val="Times New Roman"/>
        <family val="1"/>
      </rPr>
      <t xml:space="preserve">         </t>
    </r>
    <r>
      <rPr>
        <sz val="11"/>
        <color theme="1"/>
        <rFont val="Calibri"/>
        <family val="2"/>
        <scheme val="minor"/>
      </rPr>
      <t xml:space="preserve">Additional conditions: INSERT ANY EXTRA CONDITIONS IMPOSED BY GMF STAFF OR GMF COUNCIL/FCM BOARD OR WRITE None </t>
    </r>
  </si>
  <si>
    <t xml:space="preserve">Final Contribution </t>
  </si>
  <si>
    <t>$INSERT TOTAL GRANT AMOUNT  less the amount of previous Contributions; or 
INSERT 50 OR 80 AS IDENTIFIED IN APPROVAL% of Eligible Costs then incurred by the Recipient less the amount of previous Contributions</t>
  </si>
  <si>
    <r>
      <t>·</t>
    </r>
    <r>
      <rPr>
        <sz val="7"/>
        <color theme="1"/>
        <rFont val="Times New Roman"/>
        <family val="1"/>
      </rPr>
      <t>       </t>
    </r>
    <r>
      <rPr>
        <sz val="11"/>
        <color theme="1"/>
        <rFont val="Calibri"/>
        <family val="2"/>
        <scheme val="minor"/>
      </rPr>
      <t xml:space="preserve">  Schedule D – Request for Contribution </t>
    </r>
  </si>
  <si>
    <r>
      <t>·</t>
    </r>
    <r>
      <rPr>
        <sz val="7"/>
        <color theme="1"/>
        <rFont val="Times New Roman"/>
        <family val="1"/>
      </rPr>
      <t xml:space="preserve">         </t>
    </r>
    <r>
      <rPr>
        <sz val="11"/>
        <color theme="1"/>
        <rFont val="Calibri"/>
        <family val="2"/>
        <scheme val="minor"/>
      </rPr>
      <t xml:space="preserve">Schedule F – Project Completion Report </t>
    </r>
  </si>
  <si>
    <r>
      <t>·</t>
    </r>
    <r>
      <rPr>
        <sz val="11"/>
        <color theme="1"/>
        <rFont val="Times New Roman"/>
        <family val="1"/>
      </rPr>
      <t xml:space="preserve">         </t>
    </r>
    <r>
      <rPr>
        <sz val="11"/>
        <color theme="1"/>
        <rFont val="Calibri"/>
        <family val="2"/>
        <scheme val="minor"/>
      </rPr>
      <t>Evidence that Milestones INSERT APPROPRIATE NUMBERS FROM THE WORKBOOK were completed : INSERT DELIVERABLES IDENTIFIED IN PROJECT WORKBOOK</t>
    </r>
  </si>
  <si>
    <r>
      <t>o</t>
    </r>
    <r>
      <rPr>
        <sz val="11"/>
        <color theme="1"/>
        <rFont val="Times New Roman"/>
        <family val="1"/>
      </rPr>
      <t>   </t>
    </r>
    <r>
      <rPr>
        <sz val="11"/>
        <color theme="1"/>
        <rFont val="Calibri"/>
        <family val="2"/>
        <scheme val="minor"/>
      </rPr>
      <t xml:space="preserve"> Sources of Funding</t>
    </r>
  </si>
  <si>
    <r>
      <t>·</t>
    </r>
    <r>
      <rPr>
        <sz val="11"/>
        <color theme="1"/>
        <rFont val="Times New Roman"/>
        <family val="1"/>
      </rPr>
      <t xml:space="preserve">         </t>
    </r>
    <r>
      <rPr>
        <sz val="11"/>
        <color theme="1"/>
        <rFont val="Calibri"/>
        <family val="2"/>
        <scheme val="minor"/>
      </rPr>
      <t>Final  INSERT NAME OF FINAL DELIVERABLE (S)</t>
    </r>
  </si>
  <si>
    <r>
      <t>·</t>
    </r>
    <r>
      <rPr>
        <sz val="11"/>
        <color theme="1"/>
        <rFont val="Times New Roman"/>
        <family val="1"/>
      </rPr>
      <t xml:space="preserve">         </t>
    </r>
    <r>
      <rPr>
        <sz val="11"/>
        <color theme="1"/>
        <rFont val="Calibri"/>
        <family val="2"/>
        <scheme val="minor"/>
      </rPr>
      <t>IF PLAN, INSERT ''Evidence of municipal council approval'</t>
    </r>
    <r>
      <rPr>
        <sz val="11"/>
        <color theme="1"/>
        <rFont val="Arial"/>
        <family val="2"/>
      </rPr>
      <t>'</t>
    </r>
  </si>
  <si>
    <r>
      <t>·</t>
    </r>
    <r>
      <rPr>
        <sz val="11"/>
        <color theme="1"/>
        <rFont val="Times New Roman"/>
        <family val="1"/>
      </rPr>
      <t xml:space="preserve">         </t>
    </r>
    <r>
      <rPr>
        <sz val="11"/>
        <color theme="1"/>
        <rFont val="Calibri"/>
        <family val="2"/>
        <scheme val="minor"/>
      </rPr>
      <t>Additional conditions: INSERT ANY EXTRA CONDITIONS IMPOSED BY GMF STAFF OR GMF COUNCIL/FCM BOARD OR WRITE None</t>
    </r>
  </si>
  <si>
    <t xml:space="preserve">                                                                                                                                                                                                                                                                 Expense claim - GMF Initiatives</t>
  </si>
  <si>
    <t>Lead Applicant:</t>
  </si>
  <si>
    <t>Indicate tax rebate rate -------&gt;</t>
  </si>
  <si>
    <t xml:space="preserve">                                                                                                                          Estimated budget costs (from tab 3. Budget - Workplan)</t>
  </si>
  <si>
    <t xml:space="preserve">                                                                                                                                                                    Actual budget costs</t>
  </si>
  <si>
    <t>Cost category</t>
  </si>
  <si>
    <t>Eligible cost 
($)</t>
  </si>
  <si>
    <t>Total predicted cost 
($)</t>
  </si>
  <si>
    <t>Actual eligible cost (net of tax-rebate)</t>
  </si>
  <si>
    <t>Actual ineligible cost (net of tax rebate)</t>
  </si>
  <si>
    <t>Total actual costs 
(net of tax rebate)</t>
  </si>
  <si>
    <t>Recipient comments</t>
  </si>
  <si>
    <t>GMF comments</t>
  </si>
  <si>
    <t>FOR USE BY GMF - CONTRIBUTION SECTION</t>
  </si>
  <si>
    <t xml:space="preserve"> X Current and previous Disbursements</t>
  </si>
  <si>
    <t>Total actual eligible costs</t>
  </si>
  <si>
    <t>Disbursement #1 as per GMF records</t>
  </si>
  <si>
    <t>Total available grant</t>
  </si>
  <si>
    <t>Disbursement #2 as per GMF records</t>
  </si>
  <si>
    <t>Disbursement #3 as per GMF records</t>
  </si>
  <si>
    <t>Total amount disbursed to date as per GMF records</t>
  </si>
  <si>
    <t>Total amount available for disbursement (amount identified in the grant agreement less the total amount disbursed to date)</t>
  </si>
  <si>
    <t>(4) Capital Expenditures</t>
  </si>
  <si>
    <t>(5) Equipment rental</t>
  </si>
  <si>
    <t>(6) In-Kind</t>
  </si>
  <si>
    <t>(7) Meetings and public gatherings</t>
  </si>
  <si>
    <t>(9) Staff remuneration</t>
  </si>
  <si>
    <t>(10) Supplies and materials</t>
  </si>
  <si>
    <t>(11) Transportation, shiping and courier charges</t>
  </si>
  <si>
    <t>(13) Taxes</t>
  </si>
  <si>
    <r>
      <t xml:space="preserve">INSTRUCTIONS
</t>
    </r>
    <r>
      <rPr>
        <sz val="12"/>
        <color theme="1"/>
        <rFont val="Calibri"/>
        <family val="2"/>
        <scheme val="minor"/>
      </rPr>
      <t xml:space="preserve">Enter all funding sources for your </t>
    </r>
    <r>
      <rPr>
        <sz val="12"/>
        <rFont val="Calibri"/>
        <family val="2"/>
        <scheme val="minor"/>
      </rPr>
      <t>study.</t>
    </r>
    <r>
      <rPr>
        <sz val="12"/>
        <color theme="1"/>
        <rFont val="Calibri"/>
        <family val="2"/>
        <scheme val="minor"/>
      </rPr>
      <t xml:space="preserve"> For each funding source, please indicate the amount of the funding, and when the funding is confirmed or expected to be confirmed. The total of all funding sources must equal the total </t>
    </r>
    <r>
      <rPr>
        <sz val="12"/>
        <rFont val="Calibri"/>
        <family val="2"/>
        <scheme val="minor"/>
      </rPr>
      <t>study</t>
    </r>
    <r>
      <rPr>
        <sz val="12"/>
        <color theme="1"/>
        <rFont val="Calibri"/>
        <family val="2"/>
        <scheme val="minor"/>
      </rPr>
      <t xml:space="preserve"> costs in your </t>
    </r>
    <r>
      <rPr>
        <u/>
        <sz val="12"/>
        <color theme="1"/>
        <rFont val="Calibri"/>
        <family val="2"/>
        <scheme val="minor"/>
      </rPr>
      <t xml:space="preserve">Budget table (tab </t>
    </r>
    <r>
      <rPr>
        <u/>
        <sz val="12"/>
        <rFont val="Calibri"/>
        <family val="2"/>
        <scheme val="minor"/>
      </rPr>
      <t>Budget - Workplan)</t>
    </r>
    <r>
      <rPr>
        <sz val="12"/>
        <rFont val="Calibri"/>
        <family val="2"/>
        <scheme val="minor"/>
      </rPr>
      <t>.  A</t>
    </r>
    <r>
      <rPr>
        <sz val="12"/>
        <color theme="1"/>
        <rFont val="Calibri"/>
        <family val="2"/>
        <scheme val="minor"/>
      </rPr>
      <t xml:space="preserve">ll sources of funding must be confirmed in writing and submitted to FCM prior to the first disbursement.
</t>
    </r>
    <r>
      <rPr>
        <b/>
        <sz val="12"/>
        <color theme="1"/>
        <rFont val="Calibri"/>
        <family val="2"/>
        <scheme val="minor"/>
      </rPr>
      <t xml:space="preserve">
Note: </t>
    </r>
    <r>
      <rPr>
        <sz val="12"/>
        <color theme="1"/>
        <rFont val="Calibri"/>
        <family val="2"/>
        <scheme val="minor"/>
      </rPr>
      <t xml:space="preserve"> Funding is provided for up to 80% of eligible study costs. The spreadsheet will auto-calculate the maximum eligible GMF grant amounts according to the Total Eligible Costs in the budget. FCM will cap the GMF grant amounts according to the other confirmed sources of funding.</t>
    </r>
  </si>
  <si>
    <r>
      <t xml:space="preserve">Administrative costs that are directly linked to and have been incurred for the </t>
    </r>
    <r>
      <rPr>
        <sz val="9.5"/>
        <rFont val="Calibri"/>
        <family val="2"/>
        <scheme val="minor"/>
      </rPr>
      <t>project</t>
    </r>
    <r>
      <rPr>
        <sz val="9.5"/>
        <color theme="1"/>
        <rFont val="Calibri"/>
        <family val="2"/>
        <scheme val="minor"/>
      </rPr>
      <t xml:space="preserve"> such as: </t>
    </r>
  </si>
  <si>
    <t>Advertising costs essential to communicating the project to relevant stakeholders, as well as project evaluation, such as:</t>
  </si>
  <si>
    <t>•    advertising development</t>
  </si>
  <si>
    <t>•    media distribution</t>
  </si>
  <si>
    <t xml:space="preserve">•   Advertising costs for general education or publicity that is a result of ongoing or other business activity and not a specific requirement of the project, such as: </t>
  </si>
  <si>
    <t>promotional items</t>
  </si>
  <si>
    <r>
      <t xml:space="preserve">Rental of tools and equipment related to the </t>
    </r>
    <r>
      <rPr>
        <sz val="9.5"/>
        <rFont val="Calibri"/>
        <family val="2"/>
        <scheme val="minor"/>
      </rPr>
      <t>project.</t>
    </r>
  </si>
  <si>
    <r>
      <t xml:space="preserve">Costs related to meetings and public gatherings that communicate the </t>
    </r>
    <r>
      <rPr>
        <sz val="9.5"/>
        <rFont val="Calibri"/>
        <family val="2"/>
        <scheme val="minor"/>
      </rPr>
      <t>project</t>
    </r>
    <r>
      <rPr>
        <sz val="9.5"/>
        <color theme="1"/>
        <rFont val="Calibri"/>
        <family val="2"/>
        <scheme val="minor"/>
      </rPr>
      <t xml:space="preserve"> to the public and that collect feedback, such as:</t>
    </r>
  </si>
  <si>
    <r>
      <t>·</t>
    </r>
    <r>
      <rPr>
        <sz val="7"/>
        <color theme="1"/>
        <rFont val="Times New Roman"/>
        <family val="1"/>
      </rPr>
      <t xml:space="preserve">         </t>
    </r>
    <r>
      <rPr>
        <sz val="9.5"/>
        <color theme="1"/>
        <rFont val="Calibri"/>
        <family val="2"/>
        <scheme val="minor"/>
      </rPr>
      <t>decorations,   flowers, centerpieces, etc.</t>
    </r>
  </si>
  <si>
    <t>•    Overtime pay</t>
  </si>
  <si>
    <t>•    Bonuses/performance pay</t>
  </si>
  <si>
    <t>•    Fringe benefits, such as sick days, maternity leave, parental leave, pension plan and any other fringe benefits not listed as eligible</t>
  </si>
  <si>
    <t xml:space="preserve">•    Costs related to ongoing or other regular business activities and not specifically required for the project </t>
  </si>
  <si>
    <t xml:space="preserve">•    Staff wages while receiving training or attending learning events </t>
  </si>
  <si>
    <t xml:space="preserve">•    Professional membership fees or dues </t>
  </si>
  <si>
    <t xml:space="preserve">•    Staff remuneration for which FCM has provided (or committed to provide) a grant or contribution (this includes funding provided or committed through Climate Change Staff Grants from FCM’s Municipalities for Climate Innovation Program)                                                                                                      </t>
  </si>
  <si>
    <t>Daily rates actually paid by the eligible recipient to its employees (including permanent and contract employees) in Canada for time actually worked on the implementation of the project. The daily rate per employee shall include the following costs:</t>
  </si>
  <si>
    <t>·         Direct salaries: actual and justifiable sums paid by the eligible recipient to Employees in accordance with the eligible recipient’s pay scales as regular salary, excluding overtime pay and bonuses.</t>
  </si>
  <si>
    <t>·         Fringe benefit, in accordance with the eligible recipient’s policies, as follows:</t>
  </si>
  <si>
    <t>a)       Time-off benefits (prorated to the annual percentage of time actually worked on the implementation of the project): allowable number of days to be paid by the eligible recipient for the payable absences of statutory holidays and annual vacation</t>
  </si>
  <si>
    <t>b)       Paid benefits: actual sums paid by the eligible recipient for paid benefits (prorated to the annual percentage of time actually worked on the implementation of the project): this includes the eligible recipient’s contribution to employment insurance and workers’ compensation plans (where applicable), health and medical insurance, group life insurance, and other mandatory government benefits.</t>
  </si>
  <si>
    <t xml:space="preserve">Note: For private (for-profit) entities only, as determined by FCM, the value of total staff remuneration cannot exceed 10% of the project's eligible costs. </t>
  </si>
  <si>
    <t>8) Supplies and materials (plans, studies and pilots)</t>
  </si>
  <si>
    <r>
      <t xml:space="preserve">Supplies and materials that are specifically needed to undertake the </t>
    </r>
    <r>
      <rPr>
        <sz val="9.5"/>
        <rFont val="Calibri"/>
        <family val="2"/>
      </rPr>
      <t>project.</t>
    </r>
  </si>
  <si>
    <t>Costs related to ongoing or other business activities that are not a specific requirement of the project.</t>
  </si>
  <si>
    <r>
      <t xml:space="preserve">Transportation costs for delivery of materials and services essential for the </t>
    </r>
    <r>
      <rPr>
        <sz val="9.5"/>
        <rFont val="Calibri"/>
        <family val="2"/>
        <scheme val="minor"/>
      </rPr>
      <t>project.</t>
    </r>
  </si>
  <si>
    <r>
      <t xml:space="preserve">Travel and project-associated expenses for you and consultants, to the extent that the travel and accommodation rates comply with Treasury Board of Canada guidelines and to the extent the such travel is necessary to complete the </t>
    </r>
    <r>
      <rPr>
        <sz val="9.5"/>
        <rFont val="Calibri"/>
        <family val="2"/>
        <scheme val="minor"/>
      </rPr>
      <t xml:space="preserve">project - </t>
    </r>
    <r>
      <rPr>
        <sz val="9.5"/>
        <color theme="1"/>
        <rFont val="Calibri"/>
        <family val="2"/>
        <scheme val="minor"/>
      </rPr>
      <t xml:space="preserve"> including travel and accomodation costs to attend CEF capacity building activities organized by FCM. </t>
    </r>
  </si>
  <si>
    <t>•    Travel, accommodation and fees to attend conferences, missions, trade shows, etc.</t>
  </si>
  <si>
    <t>•    Travel and associated expenses of a partner in the project. </t>
  </si>
  <si>
    <t>Please fill in the following yellow cells:
1) In Step 1, enter the Province/Territory where your program is/will be based. 
2) In Step 2, enter information about the anticipated measures completed through your program.
3) In Step 3, review your program's projected benefits.</t>
  </si>
  <si>
    <t>Please fill in this section indicating:
1) The total number of participating homes you anticipate over the program duration
2) The expected breakdown between deep energy and light energy retrofits (descriptions provided below for guidance)
3) The expected number of renewable energy projects (these can be stand alone or in conjunction with the home energy retrofits)
4) Whether your program will support space heating electrification measures, such as converting a home from an oil or gas furnace to an electric heat pump
The % energy savings for each measure are provided as a high-level guideline. Please add a note in column (I) if you would like to qualify any details about your program's deep or light energy retrofits that may be relevant. Further details can also be provided in your application narrative document.
Note that the list of potential measures can be provided in the full application form, in question B7 Program Benefits, but does not have to be provided in this workbook. If desired, you may enter an additional measure in the "Other" row, completing the estimate energy consumption reduction for the average home, and providing a description of the measure in column (I). The main application form also includes space for additional details to be provided.</t>
  </si>
  <si>
    <t>Program Design Study</t>
  </si>
  <si>
    <t>Please fill in this section indicating:
1) The total number of participating homes you anticipate over the program duration
2) The expected breakdown between deep energy and light energy retrofits (descriptions provided below for guidance)
3) The expected number of renewable energy projects (these can be stand alone or in conjunction with the home energy retrofits)
4) Whether your program will support space heating electrification measures, such as converting a home from an oil or gas furnace to an electric heat pump
The % energy savings for each measure are provided as a high-level guideline. Please add a note in column (I) if you would like to qualify any details about your program's deep or light energy retrofits that may be relevant. Further details can also be provided in your application narrative document.
Note that the full list of program eligible measures is requested in the main application form, in question B7 Environmental benefits, but does not have to be provided in this workbook. If desired, you may enter an additional measure in the "Other" row, completing the estimate energy consumption reduction for the average home, and providing a description of the measure in column (I). The main application form also includes space for additional details to be provided.</t>
  </si>
  <si>
    <t>Any goods and services that are received through donation or in-kind.</t>
  </si>
  <si>
    <t>Staff training necessary for the successful design and implementation of the program.</t>
  </si>
  <si>
    <t>Costs associated with market building activities such as renovation contractor training, workforce skills development and energy advisor training.</t>
  </si>
  <si>
    <r>
      <t xml:space="preserve">As described in the application form the green highlighted tabs must be completed and submitted in parallel with the application submission. For Program Design &amp; Evaluation Studies, the red highlighted tabs will need to be completed and submitted at the completion of your study.  </t>
    </r>
    <r>
      <rPr>
        <b/>
        <sz val="12"/>
        <rFont val="Calibri"/>
        <family val="2"/>
      </rPr>
      <t>Please ensure that the requested information is completed within each of the relevant project workbook tabs. Note that a Payment and Reporting Table tab, and the Expense Claim tab will be provided only after your application is approved for funding. They are used to track your initiative's progress.</t>
    </r>
  </si>
  <si>
    <t>Note: totals are rounded down to the nearest $100</t>
  </si>
  <si>
    <t>Note: The costs under "Total - All phases" are rounded down to the nearest $100.</t>
  </si>
  <si>
    <t>Town of Cobourg – Feasibility Study – Community Efficiency Financing</t>
  </si>
  <si>
    <t xml:space="preserve">Lead applicant: </t>
  </si>
  <si>
    <t xml:space="preserve">Town of Cobourg </t>
  </si>
  <si>
    <t>Lead Applicant -  Town of Cobourg</t>
  </si>
  <si>
    <t>Grant Writer pay/benefits for time required to draft  full application.</t>
  </si>
  <si>
    <t xml:space="preserve">Milestone description: Costs to write the GMF application incurred up to 90 days prior to application receipt date. </t>
  </si>
  <si>
    <t>Yes</t>
  </si>
  <si>
    <t>Milestone description: Public input and sharing with peer organizations and stakeholders on the financing  strategies coaleses around one or two options.</t>
  </si>
  <si>
    <t>Milestone 1: Draft Application to FCM.</t>
  </si>
  <si>
    <t>Deadline for Council meeting Agenda items.</t>
  </si>
  <si>
    <t>Motion to approve Feasibility Study by Cobourg Council.</t>
  </si>
  <si>
    <t>This project will aim for the Passive House EnerPHit standard of 70% reduction OR the equivalent of 30kWh per metre squared.</t>
  </si>
  <si>
    <t>One 5 kW installation per eight unit townhome structure on average is anticipated. Optional Solar PV system may provide electricity for on-demand hot water systems for the buildings.</t>
  </si>
  <si>
    <t>Milestone 2: Set Up Project Administration.</t>
  </si>
  <si>
    <t>Milestone 3: Public and Peer Consultation.</t>
  </si>
  <si>
    <t>Milestone description: Steps to achieve Council approval.</t>
  </si>
  <si>
    <t>Milestone description: Implement Team workplan, timeline, and support system needed to develop a professionally prepared draft Feasibility Study.</t>
  </si>
  <si>
    <t>Hold second Team meeting to develop purpose, goals, and criteria content for RFP for proposed Feasibility Study.</t>
  </si>
  <si>
    <t>Hold third team meeting to review draft RFP for proposed Feasibility Study and points system.</t>
  </si>
  <si>
    <t>One public consultation live or by Zoom with a rapporteur and the Consultant present and several means of expressing preferences.</t>
  </si>
  <si>
    <t xml:space="preserve">Individual heat pumps and HRV's sourced from Lakefront Utility Services Inc. or Hydro One . </t>
  </si>
  <si>
    <t xml:space="preserve">Contingency costs are included in the budget to allow for uncertainties resulting from the COVID-19 pandemic such as: the number of RFP responses received for the Consultant contract, the amount of time it may take for the Consultant to fulfill their duties, as well as the practicality of face-to-face public consultations which may or may not be fulfilled via virtual public consultations. </t>
  </si>
  <si>
    <t>Milestone 4: Council Approval.</t>
  </si>
  <si>
    <r>
      <t>Start Date (mm/dd/yy)</t>
    </r>
    <r>
      <rPr>
        <b/>
        <vertAlign val="superscript"/>
        <sz val="11"/>
        <color theme="1"/>
        <rFont val="Calibri"/>
        <family val="2"/>
        <scheme val="minor"/>
      </rPr>
      <t>*</t>
    </r>
  </si>
  <si>
    <t>End Date (mm/dd/yy)*</t>
  </si>
  <si>
    <t>Date Committed
MM-DD-YYYY</t>
  </si>
  <si>
    <t>Dec 15, 2019</t>
  </si>
  <si>
    <t>Pending application success, complete initial Team meeting to review/sign the FCM Contribution Agreement and confirm internal meeting schedule (as presented below).</t>
  </si>
  <si>
    <t xml:space="preserve">Hire part-time staff to support the Town of Cobourg in preparing an RFP. Purpose of the RFP will be to contract a Consultant for the proposed Feasibility Study for net-zero deep energy neighbourhood retrofits for low income residents. </t>
  </si>
  <si>
    <t>Send out RFP "To Research, Analyze, and Detail the Pros and Cons of a Variety of Financing Models to Support Neighbourhood Deep Energy Retrofits for Low-income Residents."</t>
  </si>
  <si>
    <t>Part-time staff member (as noted in cell A12) to organize/summarize RFP responses AND forward to Team members for review.</t>
  </si>
  <si>
    <t>Hold fourth Team meeting to review/select a Consultant who will be tasked with preparing the proposed Feasibility Study.</t>
  </si>
  <si>
    <t>Meeting date to be announced regarding upcoming public consultation and draft Feasibility Study posted on the Town of Cobourg's website.</t>
  </si>
  <si>
    <t>Share Report with peers (such as Recover N.S., PCP Climate Coordinator colleagues in eastern Ontario  and Clean Air Partnership) for comment and with local stakeholder organizations.</t>
  </si>
  <si>
    <t>Part-time staff  (as noted in cell A12) prepares report on comments from peer organizations and local stakeholders.</t>
  </si>
  <si>
    <t>Consultant to complete final revision of Feasibility Study taking into account direction from the Team on peer reports.</t>
  </si>
  <si>
    <t>Team meeting for final review before Feasibility Study goes to Committee of the Whole Cobourg Council.</t>
  </si>
  <si>
    <t>Council Committee of the Whole to review draft Feasibility Study.</t>
  </si>
  <si>
    <t xml:space="preserve">Total Project HST (13%) that won't be rebated to the Municipality @ 1.76% </t>
  </si>
  <si>
    <t xml:space="preserve">Time of a part-time staff to work on this project and support the Team for a one-year period (apprpox) providing technical and administrative support. </t>
  </si>
  <si>
    <t xml:space="preserve">Part-time staff (as noted in cell A12) to prepare the RFP to hire a Consultant (who will complete the Feasibility Study) and to develop a points system to grade responses in bids received.  </t>
  </si>
  <si>
    <t>Town of Cobourg's Solicitor/Lawyer and Council to review RFP.</t>
  </si>
  <si>
    <t>Consultant contacted and date for first meeting with Team arranged.</t>
  </si>
  <si>
    <t xml:space="preserve">Approval of winning bid and Start-up meeting with selected Consultant </t>
  </si>
  <si>
    <t>Consultant prepares for review first draft of Feasibility Study from Consultant on financing options that fit with the intended audience of landlords, low-income renters, and low income property owners facing 'energy poverty'.</t>
  </si>
  <si>
    <t>Consultant takes Team comments and preparesa for review a second draft of Feasibility Study on financing deep retrofits in neighbourhoods facing energy poverty before ta wider  public consultation process starts.</t>
  </si>
  <si>
    <t>Hold fifth Team meeting to  consolodate comments and convey them to the Consultant</t>
  </si>
  <si>
    <t>Administrator circulates draft to team for 1 week review and collects comments for review at the next meeting</t>
  </si>
  <si>
    <t>Part-time staff member (as noted in cell A12) will prepare a consultation report (that summarizes the consultation meeting outcomes/comments). and distributes for one week review to the Team</t>
  </si>
  <si>
    <t>Sixth Team meeting to review consultation report (as noted in cell A30).</t>
  </si>
  <si>
    <t>Revision of the Feasibility Report by Consultant under Team  administrators direction.</t>
  </si>
  <si>
    <t>Seventh Team meeting with Consultant to go over peer reports.</t>
  </si>
  <si>
    <t>Milestone 5: Report on Process to FCM funder</t>
  </si>
  <si>
    <t xml:space="preserve">Prepare a report on FCM / GMF 17564 Town of Cobourg F5-CEF Agreement for funder.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</si>
</sst>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44" formatCode="_-&quot;$&quot;* #,##0.00_-;\-&quot;$&quot;* #,##0.00_-;_-&quot;$&quot;* &quot;-&quot;??_-;_-@_-"/>
    <numFmt numFmtId="43" formatCode="_-* #,##0.00_-;\-* #,##0.00_-;_-* &quot;-&quot;??_-;_-@_-"/>
    <numFmt numFmtId="164" formatCode="_(&quot;$&quot;* #,##0.00_);_(&quot;$&quot;* \(#,##0.00\);_(&quot;$&quot;* &quot;-&quot;??_);_(@_)"/>
    <numFmt numFmtId="165" formatCode="0.0"/>
    <numFmt numFmtId="166" formatCode="#,##0.0"/>
    <numFmt numFmtId="167" formatCode="&quot;$&quot;#,##0"/>
    <numFmt numFmtId="168" formatCode="_-* #,##0_-;\-* #,##0_-;_-* &quot;-&quot;??_-;_-@_-"/>
    <numFmt numFmtId="169" formatCode="dd/mm/yyyy;@"/>
    <numFmt numFmtId="170" formatCode="_-&quot;$&quot;* #,##0_-;\-&quot;$&quot;* #,##0_-;_-&quot;$&quot;* &quot;-&quot;??_-;_-@_-"/>
    <numFmt numFmtId="171" formatCode="[$-1009]d\-mmm\-yy;@"/>
    <numFmt numFmtId="172" formatCode="&quot;$&quot;#,##0.00"/>
    <numFmt numFmtId="173" formatCode="yy\-mm\-dd;@"/>
  </numFmts>
  <fonts count="73" x14ac:knownFonts="1">
    <font>
      <sz val="11"/>
      <color theme="1"/>
      <name val="Calibri"/>
      <family val="2"/>
      <scheme val="minor"/>
    </font>
    <font>
      <b/>
      <sz val="11"/>
      <color theme="1"/>
      <name val="Calibri"/>
      <family val="2"/>
      <scheme val="minor"/>
    </font>
    <font>
      <b/>
      <sz val="12"/>
      <name val="Calibri"/>
      <family val="2"/>
      <scheme val="minor"/>
    </font>
    <font>
      <b/>
      <sz val="11"/>
      <color theme="0"/>
      <name val="Calibri"/>
      <family val="2"/>
      <scheme val="minor"/>
    </font>
    <font>
      <b/>
      <sz val="10"/>
      <color theme="1"/>
      <name val="Calibri"/>
      <family val="2"/>
      <scheme val="minor"/>
    </font>
    <font>
      <sz val="11"/>
      <color theme="1"/>
      <name val="Calibri"/>
      <family val="2"/>
      <scheme val="minor"/>
    </font>
    <font>
      <sz val="11"/>
      <name val="Calibri"/>
      <family val="2"/>
      <scheme val="minor"/>
    </font>
    <font>
      <i/>
      <sz val="11"/>
      <name val="Calibri"/>
      <family val="2"/>
      <scheme val="minor"/>
    </font>
    <font>
      <b/>
      <sz val="11"/>
      <name val="Calibri"/>
      <family val="2"/>
      <scheme val="minor"/>
    </font>
    <font>
      <sz val="8"/>
      <name val="Calibri"/>
      <family val="2"/>
      <scheme val="minor"/>
    </font>
    <font>
      <sz val="11"/>
      <color rgb="FFFF0000"/>
      <name val="Calibri"/>
      <family val="2"/>
      <scheme val="minor"/>
    </font>
    <font>
      <b/>
      <sz val="11"/>
      <color rgb="FFFFFFFF"/>
      <name val="Calibri"/>
      <family val="2"/>
      <scheme val="minor"/>
    </font>
    <font>
      <i/>
      <sz val="11"/>
      <color theme="1" tint="0.249977111117893"/>
      <name val="Calibri"/>
      <family val="2"/>
      <scheme val="minor"/>
    </font>
    <font>
      <sz val="11"/>
      <color theme="1" tint="0.249977111117893"/>
      <name val="Calibri"/>
      <family val="2"/>
      <scheme val="minor"/>
    </font>
    <font>
      <b/>
      <i/>
      <sz val="11"/>
      <name val="Calibri"/>
      <family val="2"/>
      <scheme val="minor"/>
    </font>
    <font>
      <sz val="10"/>
      <color theme="1"/>
      <name val="Calibri"/>
      <family val="2"/>
      <scheme val="minor"/>
    </font>
    <font>
      <sz val="11"/>
      <color rgb="FF000000"/>
      <name val="Calibri"/>
      <family val="2"/>
    </font>
    <font>
      <sz val="11"/>
      <color theme="1"/>
      <name val="Calibri"/>
      <family val="2"/>
    </font>
    <font>
      <sz val="11"/>
      <name val="Calibri"/>
      <family val="2"/>
    </font>
    <font>
      <b/>
      <sz val="11"/>
      <name val="Calibri"/>
      <family val="2"/>
    </font>
    <font>
      <b/>
      <sz val="11"/>
      <color rgb="FF000000"/>
      <name val="Calibri"/>
      <family val="2"/>
    </font>
    <font>
      <b/>
      <sz val="11"/>
      <color rgb="FFFF0000"/>
      <name val="Calibri"/>
      <family val="2"/>
    </font>
    <font>
      <b/>
      <sz val="11"/>
      <color theme="1"/>
      <name val="Calibri"/>
      <family val="2"/>
    </font>
    <font>
      <i/>
      <sz val="11"/>
      <color theme="1"/>
      <name val="Calibri"/>
      <family val="2"/>
    </font>
    <font>
      <u/>
      <sz val="11"/>
      <color theme="10"/>
      <name val="Calibri"/>
      <family val="2"/>
      <scheme val="minor"/>
    </font>
    <font>
      <b/>
      <sz val="14"/>
      <color theme="1"/>
      <name val="Calibri"/>
      <family val="2"/>
    </font>
    <font>
      <b/>
      <sz val="12"/>
      <color theme="1"/>
      <name val="Calibri"/>
      <family val="2"/>
      <scheme val="minor"/>
    </font>
    <font>
      <i/>
      <sz val="11"/>
      <color theme="1"/>
      <name val="Calibri"/>
      <family val="2"/>
      <scheme val="minor"/>
    </font>
    <font>
      <sz val="12"/>
      <color theme="0"/>
      <name val="Calibri"/>
      <family val="2"/>
      <scheme val="minor"/>
    </font>
    <font>
      <sz val="12"/>
      <color theme="1"/>
      <name val="Calibri"/>
      <family val="2"/>
      <scheme val="minor"/>
    </font>
    <font>
      <i/>
      <sz val="12"/>
      <color theme="1"/>
      <name val="Calibri"/>
      <family val="2"/>
      <scheme val="minor"/>
    </font>
    <font>
      <i/>
      <u/>
      <sz val="12"/>
      <color theme="1"/>
      <name val="Calibri"/>
      <family val="2"/>
      <scheme val="minor"/>
    </font>
    <font>
      <b/>
      <sz val="16"/>
      <color theme="1"/>
      <name val="Calibri"/>
      <family val="2"/>
    </font>
    <font>
      <sz val="11"/>
      <color theme="0" tint="-0.14999847407452621"/>
      <name val="Calibri"/>
      <family val="2"/>
      <scheme val="minor"/>
    </font>
    <font>
      <b/>
      <sz val="11"/>
      <color theme="0" tint="-0.14999847407452621"/>
      <name val="Calibri"/>
      <family val="2"/>
      <scheme val="minor"/>
    </font>
    <font>
      <sz val="20"/>
      <color theme="1"/>
      <name val="Calibri"/>
      <family val="2"/>
      <scheme val="minor"/>
    </font>
    <font>
      <b/>
      <sz val="16"/>
      <color theme="1"/>
      <name val="Calibri"/>
      <family val="2"/>
      <scheme val="minor"/>
    </font>
    <font>
      <b/>
      <sz val="14"/>
      <color theme="1"/>
      <name val="Calibri"/>
      <family val="2"/>
      <scheme val="minor"/>
    </font>
    <font>
      <b/>
      <i/>
      <sz val="11"/>
      <color theme="1"/>
      <name val="Calibri"/>
      <family val="2"/>
      <scheme val="minor"/>
    </font>
    <font>
      <b/>
      <sz val="12"/>
      <color rgb="FF000000"/>
      <name val="Calibri"/>
      <family val="2"/>
      <scheme val="minor"/>
    </font>
    <font>
      <u/>
      <sz val="14"/>
      <color theme="10"/>
      <name val="Calibri"/>
      <family val="2"/>
      <scheme val="minor"/>
    </font>
    <font>
      <u/>
      <sz val="12"/>
      <color theme="1"/>
      <name val="Calibri"/>
      <family val="2"/>
      <scheme val="minor"/>
    </font>
    <font>
      <b/>
      <vertAlign val="superscript"/>
      <sz val="11"/>
      <color theme="1"/>
      <name val="Calibri"/>
      <family val="2"/>
      <scheme val="minor"/>
    </font>
    <font>
      <sz val="10"/>
      <color theme="1"/>
      <name val="Times New Roman"/>
      <family val="1"/>
    </font>
    <font>
      <sz val="9.5"/>
      <color theme="1"/>
      <name val="Calibri"/>
      <family val="2"/>
      <scheme val="minor"/>
    </font>
    <font>
      <sz val="9.5"/>
      <color rgb="FF000000"/>
      <name val="Calibri"/>
      <family val="2"/>
    </font>
    <font>
      <b/>
      <sz val="9.5"/>
      <color rgb="FF000000"/>
      <name val="Calibri"/>
      <family val="2"/>
    </font>
    <font>
      <sz val="9.5"/>
      <color rgb="FF000000"/>
      <name val="Arial"/>
      <family val="2"/>
    </font>
    <font>
      <sz val="9.5"/>
      <color theme="1"/>
      <name val="Symbol"/>
      <family val="1"/>
      <charset val="2"/>
    </font>
    <font>
      <sz val="7"/>
      <color theme="1"/>
      <name val="Times New Roman"/>
      <family val="1"/>
    </font>
    <font>
      <u/>
      <sz val="11"/>
      <color theme="1"/>
      <name val="Calibri"/>
      <family val="2"/>
    </font>
    <font>
      <b/>
      <sz val="12"/>
      <color theme="1"/>
      <name val="Calibri"/>
      <family val="2"/>
    </font>
    <font>
      <b/>
      <sz val="12"/>
      <name val="Calibri"/>
      <family val="2"/>
    </font>
    <font>
      <i/>
      <strike/>
      <sz val="11"/>
      <color theme="1"/>
      <name val="Calibri"/>
      <family val="2"/>
      <scheme val="minor"/>
    </font>
    <font>
      <strike/>
      <sz val="11"/>
      <color theme="1"/>
      <name val="Calibri"/>
      <family val="2"/>
      <scheme val="minor"/>
    </font>
    <font>
      <b/>
      <strike/>
      <sz val="10"/>
      <color theme="1"/>
      <name val="Calibri"/>
      <family val="2"/>
      <scheme val="minor"/>
    </font>
    <font>
      <strike/>
      <sz val="11"/>
      <color rgb="FF000000"/>
      <name val="Calibri"/>
      <family val="2"/>
    </font>
    <font>
      <sz val="10"/>
      <color rgb="FF000000"/>
      <name val="Calibri"/>
      <family val="2"/>
      <scheme val="minor"/>
    </font>
    <font>
      <sz val="8"/>
      <color theme="1"/>
      <name val="Calibri Light"/>
      <family val="2"/>
    </font>
    <font>
      <sz val="9.5"/>
      <name val="Calibri"/>
      <family val="2"/>
      <scheme val="minor"/>
    </font>
    <font>
      <sz val="9.5"/>
      <name val="Calibri"/>
      <family val="2"/>
    </font>
    <font>
      <b/>
      <sz val="14"/>
      <name val="Calibri"/>
      <family val="2"/>
    </font>
    <font>
      <sz val="12"/>
      <name val="Calibri"/>
      <family val="2"/>
      <scheme val="minor"/>
    </font>
    <font>
      <u/>
      <sz val="12"/>
      <name val="Calibri"/>
      <family val="2"/>
      <scheme val="minor"/>
    </font>
    <font>
      <b/>
      <sz val="10"/>
      <color theme="1"/>
      <name val="Arial"/>
      <family val="2"/>
    </font>
    <font>
      <sz val="11"/>
      <color theme="1"/>
      <name val="Symbol"/>
      <family val="1"/>
      <charset val="2"/>
    </font>
    <font>
      <sz val="11"/>
      <color theme="1"/>
      <name val="Times New Roman"/>
      <family val="1"/>
    </font>
    <font>
      <sz val="11"/>
      <color theme="1"/>
      <name val="Arial"/>
      <family val="2"/>
    </font>
    <font>
      <sz val="11"/>
      <color theme="1"/>
      <name val="Courier New"/>
      <family val="3"/>
    </font>
    <font>
      <sz val="10"/>
      <color theme="1"/>
      <name val="Symbol"/>
      <family val="1"/>
      <charset val="2"/>
    </font>
    <font>
      <sz val="9"/>
      <color theme="1"/>
      <name val="Cambria"/>
      <family val="1"/>
    </font>
    <font>
      <b/>
      <sz val="14"/>
      <color theme="0"/>
      <name val="Calibri"/>
      <family val="2"/>
    </font>
    <font>
      <b/>
      <sz val="11"/>
      <color theme="0"/>
      <name val="Calibri"/>
      <family val="2"/>
    </font>
  </fonts>
  <fills count="3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2"/>
        <bgColor indexed="64"/>
      </patternFill>
    </fill>
    <fill>
      <patternFill patternType="solid">
        <fgColor theme="2" tint="-9.9978637043366805E-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CD5B4"/>
        <bgColor rgb="FF000000"/>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79998168889431442"/>
        <bgColor theme="6" tint="0.79998168889431442"/>
      </patternFill>
    </fill>
    <fill>
      <patternFill patternType="solid">
        <fgColor rgb="FFFF00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8"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59999389629810485"/>
        <bgColor theme="6" tint="0.79998168889431442"/>
      </patternFill>
    </fill>
    <fill>
      <patternFill patternType="solid">
        <fgColor theme="6" tint="-0.249977111117893"/>
        <bgColor indexed="64"/>
      </patternFill>
    </fill>
    <fill>
      <patternFill patternType="solid">
        <fgColor indexed="63"/>
        <bgColor indexed="64"/>
      </patternFill>
    </fill>
    <fill>
      <patternFill patternType="solid">
        <fgColor theme="5" tint="0.59999389629810485"/>
        <bgColor indexed="64"/>
      </patternFill>
    </fill>
  </fills>
  <borders count="1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theme="4" tint="0.3999755851924192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theme="4" tint="0.39997558519241921"/>
      </right>
      <top style="thin">
        <color theme="4" tint="0.39997558519241921"/>
      </top>
      <bottom style="thin">
        <color theme="4" tint="0.39997558519241921"/>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6" tint="0.39997558519241921"/>
      </bottom>
      <diagonal/>
    </border>
    <border>
      <left/>
      <right style="thin">
        <color indexed="64"/>
      </right>
      <top style="thin">
        <color indexed="64"/>
      </top>
      <bottom style="thin">
        <color theme="6" tint="0.39997558519241921"/>
      </bottom>
      <diagonal/>
    </border>
    <border>
      <left style="thin">
        <color indexed="64"/>
      </left>
      <right style="thin">
        <color indexed="64"/>
      </right>
      <top style="thin">
        <color indexed="64"/>
      </top>
      <bottom style="thin">
        <color theme="6" tint="0.39997558519241921"/>
      </bottom>
      <diagonal/>
    </border>
    <border>
      <left/>
      <right/>
      <top/>
      <bottom style="medium">
        <color indexed="64"/>
      </bottom>
      <diagonal/>
    </border>
    <border>
      <left style="medium">
        <color indexed="64"/>
      </left>
      <right style="thin">
        <color indexed="64"/>
      </right>
      <top style="thin">
        <color indexed="64"/>
      </top>
      <bottom style="thin">
        <color theme="6" tint="0.39997558519241921"/>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bottom/>
      <diagonal/>
    </border>
    <border>
      <left style="double">
        <color rgb="FF000000"/>
      </left>
      <right style="medium">
        <color rgb="FF000000"/>
      </right>
      <top style="medium">
        <color rgb="FF000000"/>
      </top>
      <bottom style="medium">
        <color rgb="FF000000"/>
      </bottom>
      <diagonal/>
    </border>
    <border>
      <left style="double">
        <color rgb="FF000000"/>
      </left>
      <right style="medium">
        <color indexed="64"/>
      </right>
      <top style="medium">
        <color indexed="64"/>
      </top>
      <bottom/>
      <diagonal/>
    </border>
    <border>
      <left/>
      <right style="double">
        <color rgb="FF000000"/>
      </right>
      <top/>
      <bottom/>
      <diagonal/>
    </border>
    <border>
      <left style="double">
        <color rgb="FF000000"/>
      </left>
      <right style="medium">
        <color indexed="64"/>
      </right>
      <top/>
      <bottom/>
      <diagonal/>
    </border>
    <border>
      <left/>
      <right style="double">
        <color rgb="FF000000"/>
      </right>
      <top/>
      <bottom style="medium">
        <color rgb="FF000000"/>
      </bottom>
      <diagonal/>
    </border>
    <border>
      <left style="medium">
        <color rgb="FF000000"/>
      </left>
      <right style="medium">
        <color rgb="FF000000"/>
      </right>
      <top/>
      <bottom style="medium">
        <color rgb="FF000000"/>
      </bottom>
      <diagonal/>
    </border>
    <border>
      <left style="double">
        <color rgb="FF000000"/>
      </left>
      <right/>
      <top/>
      <bottom style="medium">
        <color rgb="FF000000"/>
      </bottom>
      <diagonal/>
    </border>
    <border>
      <left/>
      <right style="double">
        <color rgb="FF000000"/>
      </right>
      <top style="medium">
        <color rgb="FF000000"/>
      </top>
      <bottom/>
      <diagonal/>
    </border>
    <border>
      <left style="medium">
        <color rgb="FF000000"/>
      </left>
      <right style="medium">
        <color rgb="FF000000"/>
      </right>
      <top style="medium">
        <color rgb="FF000000"/>
      </top>
      <bottom/>
      <diagonal/>
    </border>
    <border>
      <left style="double">
        <color rgb="FF000000"/>
      </left>
      <right/>
      <top style="medium">
        <color rgb="FF000000"/>
      </top>
      <bottom/>
      <diagonal/>
    </border>
    <border>
      <left style="medium">
        <color rgb="FF000000"/>
      </left>
      <right style="double">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double">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double">
        <color rgb="FF000000"/>
      </left>
      <right style="medium">
        <color indexed="64"/>
      </right>
      <top style="medium">
        <color rgb="FF000000"/>
      </top>
      <bottom style="medium">
        <color indexed="64"/>
      </bottom>
      <diagonal/>
    </border>
    <border>
      <left style="double">
        <color rgb="FF000000"/>
      </left>
      <right style="medium">
        <color rgb="FF000000"/>
      </right>
      <top/>
      <bottom/>
      <diagonal/>
    </border>
    <border>
      <left/>
      <right style="medium">
        <color indexed="64"/>
      </right>
      <top style="medium">
        <color rgb="FF000000"/>
      </top>
      <bottom/>
      <diagonal/>
    </border>
    <border>
      <left style="double">
        <color rgb="FF000000"/>
      </left>
      <right style="medium">
        <color indexed="64"/>
      </right>
      <top style="medium">
        <color rgb="FF000000"/>
      </top>
      <bottom/>
      <diagonal/>
    </border>
    <border>
      <left style="medium">
        <color indexed="64"/>
      </left>
      <right style="double">
        <color rgb="FF000000"/>
      </right>
      <top style="medium">
        <color indexed="64"/>
      </top>
      <bottom/>
      <diagonal/>
    </border>
    <border>
      <left/>
      <right style="double">
        <color rgb="FF000000"/>
      </right>
      <top/>
      <bottom style="medium">
        <color indexed="64"/>
      </bottom>
      <diagonal/>
    </border>
    <border>
      <left style="double">
        <color rgb="FF000000"/>
      </left>
      <right style="medium">
        <color indexed="64"/>
      </right>
      <top/>
      <bottom style="medium">
        <color indexed="64"/>
      </bottom>
      <diagonal/>
    </border>
    <border>
      <left style="medium">
        <color indexed="64"/>
      </left>
      <right style="double">
        <color rgb="FF000000"/>
      </right>
      <top/>
      <bottom/>
      <diagonal/>
    </border>
    <border>
      <left/>
      <right style="double">
        <color rgb="FF000000"/>
      </right>
      <top style="medium">
        <color indexed="64"/>
      </top>
      <bottom style="medium">
        <color indexed="64"/>
      </bottom>
      <diagonal/>
    </border>
    <border>
      <left style="double">
        <color rgb="FF000000"/>
      </left>
      <right/>
      <top style="medium">
        <color indexed="64"/>
      </top>
      <bottom style="medium">
        <color indexed="64"/>
      </bottom>
      <diagonal/>
    </border>
    <border>
      <left style="double">
        <color rgb="FF000000"/>
      </left>
      <right style="medium">
        <color indexed="64"/>
      </right>
      <top style="medium">
        <color indexed="64"/>
      </top>
      <bottom style="medium">
        <color indexed="64"/>
      </bottom>
      <diagonal/>
    </border>
    <border>
      <left style="double">
        <color rgb="FF000000"/>
      </left>
      <right/>
      <top/>
      <bottom style="medium">
        <color indexed="64"/>
      </bottom>
      <diagonal/>
    </border>
    <border>
      <left style="double">
        <color rgb="FF000000"/>
      </left>
      <right/>
      <top/>
      <bottom/>
      <diagonal/>
    </border>
    <border>
      <left/>
      <right style="double">
        <color rgb="FF000000"/>
      </right>
      <top style="medium">
        <color indexed="64"/>
      </top>
      <bottom/>
      <diagonal/>
    </border>
    <border>
      <left style="double">
        <color rgb="FF000000"/>
      </left>
      <right/>
      <top style="medium">
        <color indexed="64"/>
      </top>
      <bottom/>
      <diagonal/>
    </border>
    <border>
      <left style="double">
        <color rgb="FF000000"/>
      </left>
      <right/>
      <top style="double">
        <color rgb="FF000000"/>
      </top>
      <bottom style="medium">
        <color indexed="64"/>
      </bottom>
      <diagonal/>
    </border>
    <border>
      <left/>
      <right/>
      <top style="double">
        <color rgb="FF000000"/>
      </top>
      <bottom style="medium">
        <color indexed="64"/>
      </bottom>
      <diagonal/>
    </border>
    <border>
      <left/>
      <right style="double">
        <color rgb="FF000000"/>
      </right>
      <top style="double">
        <color rgb="FF000000"/>
      </top>
      <bottom style="medium">
        <color indexed="64"/>
      </bottom>
      <diagonal/>
    </border>
    <border>
      <left style="medium">
        <color rgb="FF000000"/>
      </left>
      <right style="double">
        <color rgb="FF000000"/>
      </right>
      <top/>
      <bottom style="medium">
        <color rgb="FF000000"/>
      </bottom>
      <diagonal/>
    </border>
    <border>
      <left/>
      <right style="thin">
        <color auto="1"/>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7">
    <xf numFmtId="0" fontId="0" fillId="0" borderId="0"/>
    <xf numFmtId="0" fontId="4" fillId="0" borderId="0" applyNumberFormat="0" applyFill="0" applyBorder="0" applyAlignment="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24" fillId="0" borderId="0" applyNumberFormat="0" applyFill="0" applyBorder="0" applyAlignment="0" applyProtection="0"/>
    <xf numFmtId="4" fontId="5" fillId="0" borderId="0">
      <alignment vertical="top"/>
    </xf>
  </cellStyleXfs>
  <cellXfs count="765">
    <xf numFmtId="0" fontId="0" fillId="0" borderId="0" xfId="0"/>
    <xf numFmtId="0" fontId="0" fillId="0" borderId="0" xfId="0" applyAlignment="1">
      <alignment vertical="top"/>
    </xf>
    <xf numFmtId="3" fontId="0" fillId="2" borderId="6" xfId="0" applyNumberFormat="1" applyFill="1" applyBorder="1" applyAlignment="1">
      <alignment horizontal="center" vertical="center"/>
    </xf>
    <xf numFmtId="0" fontId="0" fillId="3" borderId="4" xfId="0" applyFill="1" applyBorder="1" applyAlignment="1">
      <alignment horizontal="center" vertical="center" wrapText="1"/>
    </xf>
    <xf numFmtId="0" fontId="1" fillId="3" borderId="5" xfId="0" applyFont="1" applyFill="1" applyBorder="1" applyAlignment="1">
      <alignment horizontal="center" vertical="center"/>
    </xf>
    <xf numFmtId="0" fontId="2" fillId="3" borderId="5" xfId="0" applyFont="1" applyFill="1" applyBorder="1" applyAlignment="1">
      <alignment horizontal="center" vertical="center" wrapText="1"/>
    </xf>
    <xf numFmtId="0" fontId="0" fillId="4" borderId="3" xfId="0" applyFill="1" applyBorder="1" applyAlignment="1">
      <alignment horizontal="center" vertical="top"/>
    </xf>
    <xf numFmtId="0" fontId="0" fillId="5" borderId="0" xfId="0" applyFill="1"/>
    <xf numFmtId="0" fontId="0" fillId="6" borderId="0" xfId="0" applyFill="1"/>
    <xf numFmtId="0" fontId="1" fillId="6" borderId="0" xfId="0" applyFont="1" applyFill="1"/>
    <xf numFmtId="0" fontId="0" fillId="6" borderId="0" xfId="0" applyFill="1" applyAlignment="1">
      <alignment vertical="top"/>
    </xf>
    <xf numFmtId="0" fontId="0" fillId="0" borderId="0" xfId="0" applyFill="1"/>
    <xf numFmtId="0" fontId="1" fillId="0" borderId="0" xfId="0" applyFont="1" applyFill="1"/>
    <xf numFmtId="0" fontId="0" fillId="4" borderId="6" xfId="0" applyFill="1" applyBorder="1" applyAlignment="1">
      <alignment horizontal="center" vertical="center"/>
    </xf>
    <xf numFmtId="0" fontId="0" fillId="4" borderId="3" xfId="0" applyFill="1" applyBorder="1" applyAlignment="1">
      <alignment horizontal="center" vertical="center"/>
    </xf>
    <xf numFmtId="0" fontId="0" fillId="0" borderId="0" xfId="0" applyFill="1" applyAlignment="1">
      <alignment horizontal="left" vertical="top" wrapText="1"/>
    </xf>
    <xf numFmtId="0" fontId="4" fillId="0" borderId="0" xfId="1"/>
    <xf numFmtId="0" fontId="0" fillId="2" borderId="3" xfId="0" applyFill="1" applyBorder="1" applyAlignment="1">
      <alignment horizontal="center" vertical="center"/>
    </xf>
    <xf numFmtId="0" fontId="1" fillId="5" borderId="0" xfId="0" applyFont="1" applyFill="1"/>
    <xf numFmtId="0" fontId="1" fillId="0" borderId="0" xfId="0" applyFont="1"/>
    <xf numFmtId="165" fontId="6" fillId="0" borderId="3" xfId="0" applyNumberFormat="1" applyFont="1" applyBorder="1" applyAlignment="1">
      <alignment horizontal="center" vertical="center"/>
    </xf>
    <xf numFmtId="2" fontId="6" fillId="0" borderId="3" xfId="0" applyNumberFormat="1" applyFont="1" applyBorder="1" applyAlignment="1">
      <alignment horizontal="center" vertical="center"/>
    </xf>
    <xf numFmtId="165" fontId="1" fillId="2" borderId="3" xfId="0" applyNumberFormat="1" applyFont="1" applyFill="1" applyBorder="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2" fontId="0" fillId="0" borderId="0" xfId="0" applyNumberFormat="1"/>
    <xf numFmtId="9" fontId="0" fillId="0" borderId="0" xfId="3" applyFont="1"/>
    <xf numFmtId="0" fontId="3" fillId="9" borderId="8" xfId="0" applyFont="1" applyFill="1" applyBorder="1"/>
    <xf numFmtId="0" fontId="3" fillId="9" borderId="9" xfId="0" applyFont="1" applyFill="1" applyBorder="1"/>
    <xf numFmtId="2" fontId="1" fillId="2" borderId="3" xfId="0" applyNumberFormat="1" applyFont="1" applyFill="1" applyBorder="1" applyAlignment="1">
      <alignment horizontal="center" vertical="center"/>
    </xf>
    <xf numFmtId="0" fontId="0" fillId="10" borderId="7" xfId="0" applyFill="1" applyBorder="1"/>
    <xf numFmtId="0" fontId="0" fillId="0" borderId="7" xfId="0" applyBorder="1"/>
    <xf numFmtId="0" fontId="0" fillId="10" borderId="10" xfId="0" applyFill="1" applyBorder="1"/>
    <xf numFmtId="43" fontId="0" fillId="0" borderId="0" xfId="2" applyFont="1"/>
    <xf numFmtId="9" fontId="6" fillId="0" borderId="6" xfId="3" applyFont="1" applyBorder="1" applyAlignment="1">
      <alignment horizontal="center" vertical="center"/>
    </xf>
    <xf numFmtId="0" fontId="6" fillId="8" borderId="6" xfId="0" applyFont="1" applyFill="1" applyBorder="1" applyAlignment="1">
      <alignment horizontal="center" vertical="center"/>
    </xf>
    <xf numFmtId="9" fontId="6" fillId="0" borderId="6" xfId="0" applyNumberFormat="1" applyFont="1" applyFill="1" applyBorder="1" applyAlignment="1">
      <alignment horizontal="center" vertical="center"/>
    </xf>
    <xf numFmtId="0" fontId="6" fillId="0" borderId="0" xfId="0" applyFont="1" applyFill="1" applyAlignment="1">
      <alignment horizontal="left" vertical="top" wrapText="1"/>
    </xf>
    <xf numFmtId="0" fontId="6" fillId="3" borderId="12" xfId="0" applyFont="1" applyFill="1" applyBorder="1" applyAlignment="1">
      <alignment horizontal="center" vertical="center" wrapText="1"/>
    </xf>
    <xf numFmtId="0" fontId="6" fillId="0" borderId="0" xfId="0" applyFont="1" applyAlignment="1">
      <alignment vertical="top"/>
    </xf>
    <xf numFmtId="0" fontId="0" fillId="0" borderId="0" xfId="0" applyBorder="1"/>
    <xf numFmtId="0" fontId="0" fillId="3" borderId="19" xfId="0" applyFill="1" applyBorder="1" applyAlignment="1">
      <alignment horizontal="center" vertical="center" wrapText="1"/>
    </xf>
    <xf numFmtId="3" fontId="0" fillId="2" borderId="20" xfId="0" applyNumberFormat="1" applyFill="1" applyBorder="1" applyAlignment="1">
      <alignment horizontal="center" vertical="center"/>
    </xf>
    <xf numFmtId="3" fontId="6" fillId="2" borderId="20" xfId="0" applyNumberFormat="1" applyFont="1" applyFill="1" applyBorder="1" applyAlignment="1">
      <alignment horizontal="center" vertical="center"/>
    </xf>
    <xf numFmtId="0" fontId="0" fillId="0" borderId="18" xfId="0" applyBorder="1" applyAlignment="1">
      <alignment vertical="top"/>
    </xf>
    <xf numFmtId="0" fontId="8" fillId="0" borderId="0" xfId="0" applyFont="1" applyFill="1" applyAlignment="1">
      <alignment horizontal="right" vertical="center" wrapText="1"/>
    </xf>
    <xf numFmtId="0" fontId="6" fillId="0" borderId="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0" fillId="0" borderId="0" xfId="0" applyFont="1" applyFill="1"/>
    <xf numFmtId="0" fontId="1" fillId="0" borderId="0" xfId="0" applyFont="1" applyFill="1" applyBorder="1"/>
    <xf numFmtId="0" fontId="0" fillId="0" borderId="0" xfId="0" applyFill="1" applyBorder="1"/>
    <xf numFmtId="0" fontId="2" fillId="3" borderId="18" xfId="0" applyFont="1" applyFill="1" applyBorder="1" applyAlignment="1">
      <alignment horizontal="center" vertical="center" wrapText="1"/>
    </xf>
    <xf numFmtId="0" fontId="2" fillId="3" borderId="14" xfId="0" applyFont="1" applyFill="1" applyBorder="1" applyAlignment="1">
      <alignment horizontal="center" vertical="center" wrapText="1"/>
    </xf>
    <xf numFmtId="9" fontId="0" fillId="0" borderId="21" xfId="3" applyFont="1" applyBorder="1" applyAlignment="1">
      <alignment horizontal="center" vertical="center"/>
    </xf>
    <xf numFmtId="0" fontId="1" fillId="2" borderId="22" xfId="0" applyFont="1" applyFill="1" applyBorder="1" applyAlignment="1">
      <alignment vertical="center" wrapText="1"/>
    </xf>
    <xf numFmtId="0" fontId="0" fillId="2" borderId="27" xfId="0" applyFill="1" applyBorder="1" applyAlignment="1">
      <alignment horizontal="center" vertical="center"/>
    </xf>
    <xf numFmtId="0" fontId="0" fillId="0" borderId="28" xfId="0" applyBorder="1" applyAlignment="1">
      <alignment vertical="center" wrapText="1"/>
    </xf>
    <xf numFmtId="0" fontId="0" fillId="0" borderId="24" xfId="0" applyBorder="1" applyAlignment="1">
      <alignment vertical="center" wrapText="1"/>
    </xf>
    <xf numFmtId="0" fontId="1" fillId="2" borderId="24" xfId="0" applyFont="1" applyFill="1" applyBorder="1" applyAlignment="1">
      <alignment horizontal="left" vertical="center" wrapText="1"/>
    </xf>
    <xf numFmtId="0" fontId="6" fillId="0" borderId="24" xfId="0" applyFont="1" applyBorder="1" applyAlignment="1">
      <alignment vertical="center" wrapText="1"/>
    </xf>
    <xf numFmtId="0" fontId="6" fillId="0" borderId="25" xfId="0" applyFont="1" applyFill="1" applyBorder="1" applyAlignment="1">
      <alignment vertical="center" wrapText="1"/>
    </xf>
    <xf numFmtId="0" fontId="0" fillId="11" borderId="29" xfId="0" applyFill="1" applyBorder="1" applyAlignment="1">
      <alignment horizontal="center" vertical="center"/>
    </xf>
    <xf numFmtId="9" fontId="6" fillId="11" borderId="30" xfId="0" applyNumberFormat="1" applyFont="1"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1" xfId="0" applyFill="1" applyBorder="1" applyAlignment="1">
      <alignment horizontal="center" vertical="center"/>
    </xf>
    <xf numFmtId="0" fontId="0" fillId="0" borderId="0" xfId="0" applyFill="1" applyBorder="1" applyAlignment="1">
      <alignment horizontal="center" vertical="center" wrapText="1"/>
    </xf>
    <xf numFmtId="0" fontId="1" fillId="7" borderId="0" xfId="0" applyFont="1" applyFill="1"/>
    <xf numFmtId="0" fontId="0" fillId="7" borderId="0" xfId="0" applyFill="1"/>
    <xf numFmtId="9" fontId="0" fillId="7" borderId="0" xfId="3" applyFont="1" applyFill="1"/>
    <xf numFmtId="9" fontId="0" fillId="0" borderId="0" xfId="3" applyFont="1" applyFill="1"/>
    <xf numFmtId="0" fontId="6" fillId="2" borderId="32" xfId="0" applyFont="1" applyFill="1" applyBorder="1" applyAlignment="1">
      <alignment horizontal="center" vertical="center"/>
    </xf>
    <xf numFmtId="9" fontId="0" fillId="0" borderId="26" xfId="3" applyFont="1" applyBorder="1" applyAlignment="1">
      <alignment horizontal="center" vertical="center"/>
    </xf>
    <xf numFmtId="166" fontId="0" fillId="0" borderId="0" xfId="0" applyNumberFormat="1" applyAlignment="1">
      <alignment wrapText="1"/>
    </xf>
    <xf numFmtId="0" fontId="0" fillId="0" borderId="38" xfId="0" applyBorder="1" applyAlignment="1">
      <alignment vertical="center" wrapText="1"/>
    </xf>
    <xf numFmtId="0" fontId="0" fillId="0" borderId="36" xfId="0" applyBorder="1" applyAlignment="1">
      <alignment vertical="center" wrapText="1"/>
    </xf>
    <xf numFmtId="0" fontId="1" fillId="2" borderId="36" xfId="0" applyFont="1" applyFill="1" applyBorder="1" applyAlignment="1">
      <alignment horizontal="left" vertical="center" wrapText="1"/>
    </xf>
    <xf numFmtId="0" fontId="6" fillId="0" borderId="36" xfId="0" applyFont="1" applyBorder="1" applyAlignment="1">
      <alignment vertical="center" wrapText="1"/>
    </xf>
    <xf numFmtId="3" fontId="0" fillId="2" borderId="27" xfId="0" applyNumberFormat="1" applyFill="1" applyBorder="1" applyAlignment="1">
      <alignment horizontal="center" vertical="center"/>
    </xf>
    <xf numFmtId="3" fontId="0" fillId="2" borderId="23" xfId="0" applyNumberFormat="1" applyFill="1" applyBorder="1" applyAlignment="1">
      <alignment horizontal="center" vertical="center"/>
    </xf>
    <xf numFmtId="9" fontId="0" fillId="0" borderId="24" xfId="3" applyFont="1" applyBorder="1" applyAlignment="1">
      <alignment horizontal="center" vertical="center"/>
    </xf>
    <xf numFmtId="9" fontId="0" fillId="0" borderId="25" xfId="3" applyFont="1" applyBorder="1" applyAlignment="1">
      <alignment horizontal="center" vertical="center"/>
    </xf>
    <xf numFmtId="165" fontId="6" fillId="0" borderId="0" xfId="0" applyNumberFormat="1" applyFont="1"/>
    <xf numFmtId="165" fontId="0" fillId="0" borderId="0" xfId="0" applyNumberFormat="1"/>
    <xf numFmtId="165" fontId="1" fillId="0" borderId="0" xfId="0" applyNumberFormat="1" applyFont="1"/>
    <xf numFmtId="0" fontId="11" fillId="5" borderId="0" xfId="0" applyFont="1" applyFill="1"/>
    <xf numFmtId="0" fontId="8" fillId="0" borderId="0" xfId="0" applyFont="1" applyFill="1" applyAlignment="1">
      <alignment horizontal="left" vertical="top"/>
    </xf>
    <xf numFmtId="3" fontId="0" fillId="0" borderId="6" xfId="0" applyNumberFormat="1" applyFill="1" applyBorder="1" applyAlignment="1">
      <alignment horizontal="center" vertical="center"/>
    </xf>
    <xf numFmtId="3" fontId="0" fillId="0" borderId="20" xfId="0" applyNumberFormat="1" applyFill="1" applyBorder="1" applyAlignment="1">
      <alignment horizontal="center" vertical="center"/>
    </xf>
    <xf numFmtId="3" fontId="6" fillId="0" borderId="20" xfId="0" applyNumberFormat="1" applyFont="1" applyFill="1" applyBorder="1" applyAlignment="1">
      <alignment horizontal="center" vertical="center"/>
    </xf>
    <xf numFmtId="0" fontId="1" fillId="12" borderId="5" xfId="0" applyFont="1" applyFill="1" applyBorder="1" applyAlignment="1">
      <alignment horizontal="left" vertical="center" wrapText="1"/>
    </xf>
    <xf numFmtId="3" fontId="0" fillId="12" borderId="30" xfId="0" applyNumberFormat="1" applyFill="1" applyBorder="1" applyAlignment="1">
      <alignment horizontal="center" vertical="center"/>
    </xf>
    <xf numFmtId="3" fontId="0" fillId="12" borderId="17" xfId="0" applyNumberFormat="1" applyFill="1" applyBorder="1" applyAlignment="1">
      <alignment horizontal="center" vertical="center"/>
    </xf>
    <xf numFmtId="3" fontId="0" fillId="12" borderId="16" xfId="0" applyNumberFormat="1" applyFill="1" applyBorder="1" applyAlignment="1">
      <alignment horizontal="center" vertical="center"/>
    </xf>
    <xf numFmtId="9" fontId="0" fillId="12" borderId="35" xfId="3" applyFont="1" applyFill="1" applyBorder="1" applyAlignment="1">
      <alignment horizontal="center" vertical="center"/>
    </xf>
    <xf numFmtId="9" fontId="0" fillId="12" borderId="16" xfId="3" applyFont="1" applyFill="1" applyBorder="1" applyAlignment="1">
      <alignment horizontal="center" vertical="center"/>
    </xf>
    <xf numFmtId="0" fontId="1" fillId="2" borderId="43" xfId="0" applyFont="1" applyFill="1" applyBorder="1" applyAlignment="1">
      <alignment vertical="center" wrapText="1"/>
    </xf>
    <xf numFmtId="0" fontId="6" fillId="0" borderId="37" xfId="0" applyFont="1" applyFill="1" applyBorder="1" applyAlignment="1">
      <alignment vertical="center" wrapText="1"/>
    </xf>
    <xf numFmtId="3" fontId="0" fillId="0" borderId="30" xfId="0" applyNumberFormat="1" applyFill="1" applyBorder="1" applyAlignment="1">
      <alignment horizontal="center" vertical="center"/>
    </xf>
    <xf numFmtId="3" fontId="6" fillId="0" borderId="42" xfId="0" applyNumberFormat="1" applyFont="1" applyFill="1" applyBorder="1" applyAlignment="1">
      <alignment horizontal="center" vertical="center"/>
    </xf>
    <xf numFmtId="0" fontId="0" fillId="12" borderId="6" xfId="0" applyFill="1" applyBorder="1" applyAlignment="1">
      <alignment horizontal="center" vertical="center"/>
    </xf>
    <xf numFmtId="9" fontId="6" fillId="12" borderId="34" xfId="3" applyFont="1" applyFill="1" applyBorder="1" applyAlignment="1">
      <alignment horizontal="center" vertical="center"/>
    </xf>
    <xf numFmtId="0" fontId="6" fillId="12" borderId="3" xfId="0" applyFont="1" applyFill="1" applyBorder="1" applyAlignment="1">
      <alignment horizontal="center" vertical="center"/>
    </xf>
    <xf numFmtId="0" fontId="0" fillId="12" borderId="3" xfId="0" applyFill="1" applyBorder="1" applyAlignment="1">
      <alignment horizontal="center" vertical="center"/>
    </xf>
    <xf numFmtId="0" fontId="1" fillId="2" borderId="22" xfId="0" applyFont="1" applyFill="1" applyBorder="1" applyAlignment="1">
      <alignment horizontal="left" vertical="center" wrapText="1"/>
    </xf>
    <xf numFmtId="0" fontId="6" fillId="8" borderId="27" xfId="0" applyFont="1" applyFill="1" applyBorder="1" applyAlignment="1">
      <alignment horizontal="center" vertical="center"/>
    </xf>
    <xf numFmtId="0" fontId="6" fillId="8" borderId="32" xfId="0" applyFont="1" applyFill="1" applyBorder="1" applyAlignment="1">
      <alignment horizontal="center" vertical="center"/>
    </xf>
    <xf numFmtId="0" fontId="6" fillId="0" borderId="25" xfId="0" applyFont="1" applyBorder="1" applyAlignment="1">
      <alignment vertical="center" wrapText="1"/>
    </xf>
    <xf numFmtId="0" fontId="0" fillId="12" borderId="29" xfId="0" applyFill="1" applyBorder="1" applyAlignment="1">
      <alignment horizontal="center" vertical="center"/>
    </xf>
    <xf numFmtId="9" fontId="6" fillId="12" borderId="30" xfId="0" applyNumberFormat="1" applyFont="1" applyFill="1" applyBorder="1" applyAlignment="1">
      <alignment horizontal="center" vertical="center"/>
    </xf>
    <xf numFmtId="9" fontId="6" fillId="12" borderId="33" xfId="0" applyNumberFormat="1" applyFont="1" applyFill="1" applyBorder="1" applyAlignment="1">
      <alignment horizontal="center" vertical="center"/>
    </xf>
    <xf numFmtId="0" fontId="12" fillId="7" borderId="28" xfId="0" applyFont="1" applyFill="1" applyBorder="1" applyAlignment="1">
      <alignment vertical="center" wrapText="1"/>
    </xf>
    <xf numFmtId="0" fontId="12" fillId="7" borderId="6" xfId="0" applyFont="1" applyFill="1" applyBorder="1" applyAlignment="1">
      <alignment horizontal="left" vertical="center"/>
    </xf>
    <xf numFmtId="0" fontId="13" fillId="7" borderId="6" xfId="0" applyFont="1" applyFill="1" applyBorder="1" applyAlignment="1">
      <alignment horizontal="center" vertical="center"/>
    </xf>
    <xf numFmtId="0" fontId="13" fillId="7" borderId="34" xfId="0" applyFont="1" applyFill="1" applyBorder="1" applyAlignment="1">
      <alignment horizontal="center" vertical="center"/>
    </xf>
    <xf numFmtId="0" fontId="12" fillId="0" borderId="28" xfId="0" applyFont="1" applyBorder="1" applyAlignment="1">
      <alignment horizontal="left" vertical="center" wrapText="1" indent="1"/>
    </xf>
    <xf numFmtId="0" fontId="13" fillId="12" borderId="6" xfId="0" applyFont="1" applyFill="1" applyBorder="1" applyAlignment="1">
      <alignment horizontal="center" vertical="center"/>
    </xf>
    <xf numFmtId="9" fontId="13" fillId="12" borderId="6" xfId="0" applyNumberFormat="1" applyFont="1" applyFill="1" applyBorder="1" applyAlignment="1">
      <alignment horizontal="center" vertical="center"/>
    </xf>
    <xf numFmtId="9" fontId="13" fillId="12" borderId="34" xfId="0" applyNumberFormat="1" applyFont="1" applyFill="1" applyBorder="1" applyAlignment="1">
      <alignment horizontal="center" vertical="center"/>
    </xf>
    <xf numFmtId="0" fontId="13" fillId="12" borderId="3" xfId="0" applyFont="1" applyFill="1" applyBorder="1" applyAlignment="1">
      <alignment horizontal="center" vertical="center"/>
    </xf>
    <xf numFmtId="0" fontId="12" fillId="12" borderId="28" xfId="0" applyFont="1" applyFill="1" applyBorder="1" applyAlignment="1">
      <alignment horizontal="left" vertical="center" wrapText="1" indent="1"/>
    </xf>
    <xf numFmtId="0" fontId="12" fillId="12" borderId="46" xfId="0" applyFont="1" applyFill="1" applyBorder="1" applyAlignment="1">
      <alignment horizontal="left" vertical="center" wrapText="1" indent="1"/>
    </xf>
    <xf numFmtId="0" fontId="13" fillId="12" borderId="47" xfId="0" applyFont="1" applyFill="1" applyBorder="1" applyAlignment="1">
      <alignment horizontal="center" vertical="center"/>
    </xf>
    <xf numFmtId="0" fontId="13" fillId="12" borderId="48" xfId="0" applyFont="1" applyFill="1" applyBorder="1" applyAlignment="1">
      <alignment horizontal="center" vertical="center"/>
    </xf>
    <xf numFmtId="9" fontId="13" fillId="12" borderId="49" xfId="0" applyNumberFormat="1" applyFont="1" applyFill="1" applyBorder="1" applyAlignment="1">
      <alignment horizontal="center" vertical="center"/>
    </xf>
    <xf numFmtId="9" fontId="0" fillId="0" borderId="0" xfId="0" applyNumberFormat="1"/>
    <xf numFmtId="0" fontId="10" fillId="0" borderId="0" xfId="0" applyFont="1" applyFill="1"/>
    <xf numFmtId="0" fontId="8" fillId="3" borderId="5" xfId="0" applyFont="1" applyFill="1" applyBorder="1" applyAlignment="1">
      <alignment horizontal="center" vertical="center" wrapText="1"/>
    </xf>
    <xf numFmtId="165" fontId="13" fillId="12" borderId="6" xfId="0" applyNumberFormat="1" applyFont="1" applyFill="1" applyBorder="1" applyAlignment="1">
      <alignment horizontal="center" vertical="center"/>
    </xf>
    <xf numFmtId="9" fontId="6" fillId="12" borderId="3" xfId="3" applyFont="1" applyFill="1" applyBorder="1" applyAlignment="1">
      <alignment horizontal="center" vertical="center"/>
    </xf>
    <xf numFmtId="9" fontId="6" fillId="12" borderId="1" xfId="0" applyNumberFormat="1" applyFont="1" applyFill="1" applyBorder="1" applyAlignment="1">
      <alignment horizontal="center" vertical="center"/>
    </xf>
    <xf numFmtId="1" fontId="13" fillId="12" borderId="6" xfId="0" applyNumberFormat="1" applyFont="1" applyFill="1" applyBorder="1" applyAlignment="1">
      <alignment horizontal="center" vertical="center"/>
    </xf>
    <xf numFmtId="165" fontId="6" fillId="12" borderId="6" xfId="3" applyNumberFormat="1" applyFont="1" applyFill="1" applyBorder="1" applyAlignment="1">
      <alignment horizontal="center" vertical="center"/>
    </xf>
    <xf numFmtId="1" fontId="6" fillId="12" borderId="6" xfId="3" applyNumberFormat="1" applyFont="1" applyFill="1" applyBorder="1" applyAlignment="1">
      <alignment horizontal="center" vertical="center"/>
    </xf>
    <xf numFmtId="165" fontId="3" fillId="9" borderId="7" xfId="0" applyNumberFormat="1" applyFont="1" applyFill="1" applyBorder="1"/>
    <xf numFmtId="165" fontId="3" fillId="9" borderId="50" xfId="0" applyNumberFormat="1" applyFont="1" applyFill="1" applyBorder="1"/>
    <xf numFmtId="9" fontId="6" fillId="0" borderId="6" xfId="3" applyFont="1" applyFill="1" applyBorder="1" applyAlignment="1">
      <alignment horizontal="center" vertical="center"/>
    </xf>
    <xf numFmtId="9" fontId="5" fillId="0" borderId="0" xfId="3" applyFont="1"/>
    <xf numFmtId="0" fontId="6" fillId="0" borderId="0" xfId="0" applyFont="1" applyFill="1" applyBorder="1" applyAlignment="1">
      <alignment vertical="center" wrapText="1"/>
    </xf>
    <xf numFmtId="0" fontId="0" fillId="4" borderId="16" xfId="0" applyFill="1" applyBorder="1" applyAlignment="1">
      <alignment horizontal="center" vertical="center"/>
    </xf>
    <xf numFmtId="0" fontId="0" fillId="0" borderId="0" xfId="0" applyFill="1" applyBorder="1" applyAlignment="1">
      <alignment horizontal="center" vertical="center"/>
    </xf>
    <xf numFmtId="9" fontId="6" fillId="0" borderId="0" xfId="0" applyNumberFormat="1" applyFont="1" applyFill="1" applyBorder="1" applyAlignment="1">
      <alignment horizontal="center" vertical="center"/>
    </xf>
    <xf numFmtId="0" fontId="0" fillId="0" borderId="0" xfId="0" applyFill="1" applyBorder="1" applyAlignment="1">
      <alignment vertical="top"/>
    </xf>
    <xf numFmtId="3" fontId="0" fillId="0" borderId="24" xfId="0" applyNumberFormat="1" applyBorder="1" applyAlignment="1">
      <alignment horizontal="center" vertical="center"/>
    </xf>
    <xf numFmtId="3" fontId="0" fillId="2" borderId="24" xfId="0" applyNumberFormat="1" applyFill="1" applyBorder="1" applyAlignment="1">
      <alignment horizontal="center" vertical="center"/>
    </xf>
    <xf numFmtId="3" fontId="0" fillId="0" borderId="25" xfId="0" applyNumberFormat="1" applyBorder="1" applyAlignment="1">
      <alignment horizontal="center" vertical="center"/>
    </xf>
    <xf numFmtId="0" fontId="6" fillId="2" borderId="1" xfId="0" applyFont="1" applyFill="1" applyBorder="1" applyAlignment="1">
      <alignment vertical="top"/>
    </xf>
    <xf numFmtId="0" fontId="6" fillId="2" borderId="2" xfId="0" applyFont="1" applyFill="1" applyBorder="1" applyAlignment="1">
      <alignment vertical="top"/>
    </xf>
    <xf numFmtId="0" fontId="6" fillId="2" borderId="3" xfId="0" applyFont="1" applyFill="1" applyBorder="1" applyAlignment="1">
      <alignment horizontal="right" vertical="top"/>
    </xf>
    <xf numFmtId="0" fontId="8" fillId="2" borderId="3" xfId="0" applyFont="1" applyFill="1" applyBorder="1" applyAlignment="1">
      <alignment horizontal="right" vertical="top"/>
    </xf>
    <xf numFmtId="3" fontId="0" fillId="0" borderId="21" xfId="0" applyNumberFormat="1" applyBorder="1" applyAlignment="1">
      <alignment horizontal="center" vertical="center"/>
    </xf>
    <xf numFmtId="3" fontId="0" fillId="2" borderId="21" xfId="0" applyNumberFormat="1" applyFill="1" applyBorder="1" applyAlignment="1">
      <alignment horizontal="center" vertical="center"/>
    </xf>
    <xf numFmtId="3" fontId="0" fillId="0" borderId="26" xfId="0" applyNumberFormat="1" applyBorder="1" applyAlignment="1">
      <alignment horizontal="center" vertical="center"/>
    </xf>
    <xf numFmtId="0" fontId="0" fillId="0" borderId="0" xfId="0" applyFont="1"/>
    <xf numFmtId="0" fontId="15" fillId="0" borderId="0" xfId="1" applyFont="1"/>
    <xf numFmtId="165" fontId="0" fillId="0" borderId="0" xfId="0" applyNumberFormat="1" applyFont="1"/>
    <xf numFmtId="0" fontId="0" fillId="10" borderId="7" xfId="0" applyFont="1" applyFill="1" applyBorder="1"/>
    <xf numFmtId="0" fontId="0" fillId="0" borderId="7" xfId="0" applyFont="1" applyBorder="1"/>
    <xf numFmtId="0" fontId="10" fillId="0" borderId="0" xfId="0" applyFont="1" applyFill="1" applyAlignment="1">
      <alignment horizontal="right"/>
    </xf>
    <xf numFmtId="0" fontId="0" fillId="10" borderId="10" xfId="0" applyFont="1" applyFill="1" applyBorder="1"/>
    <xf numFmtId="0" fontId="8" fillId="3" borderId="13" xfId="0" applyFont="1" applyFill="1" applyBorder="1" applyAlignment="1">
      <alignment horizontal="center" vertical="center"/>
    </xf>
    <xf numFmtId="0" fontId="0" fillId="0" borderId="0" xfId="0" applyProtection="1">
      <protection locked="0"/>
    </xf>
    <xf numFmtId="0" fontId="16" fillId="0" borderId="0" xfId="0" applyFont="1" applyFill="1" applyBorder="1" applyAlignment="1" applyProtection="1">
      <alignment vertical="center" wrapText="1"/>
      <protection locked="0"/>
    </xf>
    <xf numFmtId="0" fontId="17" fillId="0" borderId="0" xfId="0" applyFont="1" applyBorder="1" applyProtection="1">
      <protection locked="0"/>
    </xf>
    <xf numFmtId="0" fontId="17" fillId="0" borderId="0" xfId="0" applyFont="1" applyFill="1" applyBorder="1" applyProtection="1">
      <protection locked="0"/>
    </xf>
    <xf numFmtId="0" fontId="19" fillId="14" borderId="58" xfId="0" applyFont="1" applyFill="1" applyBorder="1" applyAlignment="1" applyProtection="1">
      <alignment horizontal="left" vertical="center" wrapText="1"/>
      <protection locked="0"/>
    </xf>
    <xf numFmtId="0" fontId="19" fillId="14" borderId="59" xfId="0" applyFont="1" applyFill="1" applyBorder="1" applyAlignment="1" applyProtection="1">
      <alignment horizontal="left" vertical="center" wrapText="1"/>
      <protection locked="0"/>
    </xf>
    <xf numFmtId="0" fontId="19" fillId="14" borderId="60" xfId="0" applyFont="1" applyFill="1" applyBorder="1" applyAlignment="1" applyProtection="1">
      <alignment horizontal="left" vertical="center" wrapText="1"/>
    </xf>
    <xf numFmtId="3" fontId="20" fillId="0" borderId="0" xfId="0" applyNumberFormat="1" applyFont="1" applyFill="1" applyBorder="1" applyAlignment="1" applyProtection="1">
      <alignment horizontal="right" vertical="center"/>
      <protection locked="0"/>
    </xf>
    <xf numFmtId="0" fontId="17" fillId="0" borderId="0" xfId="0" applyFont="1" applyBorder="1" applyAlignment="1" applyProtection="1">
      <alignment horizontal="right" vertical="center"/>
      <protection locked="0"/>
    </xf>
    <xf numFmtId="3" fontId="17" fillId="0" borderId="0" xfId="0" applyNumberFormat="1" applyFont="1" applyBorder="1" applyAlignment="1" applyProtection="1">
      <alignment horizontal="right" vertical="center"/>
      <protection locked="0"/>
    </xf>
    <xf numFmtId="0" fontId="21" fillId="0" borderId="0" xfId="0" applyFont="1" applyBorder="1" applyAlignment="1" applyProtection="1">
      <alignment vertical="center" wrapText="1"/>
      <protection locked="0"/>
    </xf>
    <xf numFmtId="0" fontId="19" fillId="14" borderId="60" xfId="0" applyFont="1" applyFill="1" applyBorder="1" applyAlignment="1" applyProtection="1">
      <alignment horizontal="left" vertical="top"/>
    </xf>
    <xf numFmtId="0" fontId="17" fillId="0" borderId="0" xfId="0" applyFont="1" applyProtection="1">
      <protection locked="0"/>
    </xf>
    <xf numFmtId="167" fontId="22" fillId="14" borderId="16" xfId="2" applyNumberFormat="1" applyFont="1" applyFill="1" applyBorder="1" applyAlignment="1" applyProtection="1">
      <alignment horizontal="center" vertical="center"/>
    </xf>
    <xf numFmtId="0" fontId="22" fillId="14" borderId="44" xfId="0" applyFont="1" applyFill="1" applyBorder="1" applyAlignment="1" applyProtection="1">
      <alignment horizontal="center"/>
    </xf>
    <xf numFmtId="0" fontId="22" fillId="14" borderId="15" xfId="0" applyFont="1" applyFill="1" applyBorder="1" applyAlignment="1" applyProtection="1">
      <alignment horizontal="center" vertical="center"/>
    </xf>
    <xf numFmtId="0" fontId="19" fillId="15" borderId="11" xfId="0" applyFont="1" applyFill="1" applyBorder="1" applyAlignment="1" applyProtection="1">
      <alignment horizontal="center" vertical="center" wrapText="1"/>
    </xf>
    <xf numFmtId="168" fontId="22" fillId="0" borderId="0" xfId="2" applyNumberFormat="1" applyFont="1" applyFill="1" applyBorder="1" applyAlignment="1" applyProtection="1">
      <alignment horizontal="right" vertical="center" indent="2"/>
      <protection locked="0"/>
    </xf>
    <xf numFmtId="168" fontId="22" fillId="0" borderId="0" xfId="2" applyNumberFormat="1" applyFont="1" applyFill="1" applyBorder="1" applyAlignment="1" applyProtection="1">
      <alignment horizontal="right" vertical="center"/>
      <protection locked="0"/>
    </xf>
    <xf numFmtId="167" fontId="22" fillId="14" borderId="11" xfId="2" applyNumberFormat="1" applyFont="1" applyFill="1" applyBorder="1" applyAlignment="1" applyProtection="1">
      <alignment horizontal="right" vertical="center" indent="2"/>
    </xf>
    <xf numFmtId="167" fontId="17" fillId="14" borderId="11" xfId="2" applyNumberFormat="1" applyFont="1" applyFill="1" applyBorder="1" applyAlignment="1" applyProtection="1">
      <alignment horizontal="right" vertical="center" indent="2"/>
    </xf>
    <xf numFmtId="0" fontId="22" fillId="14" borderId="44" xfId="0" applyFont="1" applyFill="1" applyBorder="1" applyAlignment="1" applyProtection="1">
      <alignment horizontal="right" vertical="center"/>
      <protection locked="0"/>
    </xf>
    <xf numFmtId="0" fontId="22" fillId="14" borderId="54" xfId="0" applyFont="1" applyFill="1" applyBorder="1" applyAlignment="1" applyProtection="1">
      <alignment horizontal="right" vertical="center"/>
      <protection locked="0"/>
    </xf>
    <xf numFmtId="0" fontId="22" fillId="14" borderId="15" xfId="0" applyFont="1" applyFill="1" applyBorder="1" applyAlignment="1" applyProtection="1">
      <alignment horizontal="left" vertical="center"/>
    </xf>
    <xf numFmtId="167" fontId="22" fillId="16" borderId="21" xfId="2" applyNumberFormat="1" applyFont="1" applyFill="1" applyBorder="1" applyAlignment="1" applyProtection="1">
      <alignment horizontal="right" vertical="center" indent="2"/>
    </xf>
    <xf numFmtId="0" fontId="22" fillId="16" borderId="61" xfId="0" applyFont="1" applyFill="1" applyBorder="1" applyAlignment="1" applyProtection="1">
      <alignment horizontal="left" vertical="center" wrapText="1"/>
      <protection locked="0"/>
    </xf>
    <xf numFmtId="0" fontId="22" fillId="16" borderId="37" xfId="0" applyFont="1" applyFill="1" applyBorder="1" applyAlignment="1" applyProtection="1">
      <alignment horizontal="left" vertical="center" wrapText="1"/>
    </xf>
    <xf numFmtId="167" fontId="22" fillId="17" borderId="21" xfId="2" applyNumberFormat="1" applyFont="1" applyFill="1" applyBorder="1" applyAlignment="1" applyProtection="1">
      <alignment horizontal="right" vertical="center" indent="2"/>
    </xf>
    <xf numFmtId="167" fontId="17" fillId="13" borderId="62" xfId="0" applyNumberFormat="1" applyFont="1" applyFill="1" applyBorder="1" applyProtection="1">
      <protection locked="0"/>
    </xf>
    <xf numFmtId="167" fontId="17" fillId="13" borderId="3" xfId="0" applyNumberFormat="1" applyFont="1" applyFill="1" applyBorder="1" applyAlignment="1" applyProtection="1">
      <alignment horizontal="right" vertical="center"/>
      <protection locked="0"/>
    </xf>
    <xf numFmtId="0" fontId="17" fillId="18" borderId="63" xfId="0" applyFont="1" applyFill="1" applyBorder="1" applyAlignment="1" applyProtection="1">
      <alignment horizontal="center" vertical="center"/>
      <protection locked="0"/>
    </xf>
    <xf numFmtId="0" fontId="17" fillId="13" borderId="3" xfId="0" applyFont="1" applyFill="1" applyBorder="1" applyAlignment="1" applyProtection="1">
      <alignment horizontal="center" vertical="center"/>
      <protection locked="0"/>
    </xf>
    <xf numFmtId="0" fontId="17" fillId="13" borderId="3" xfId="0" applyFont="1" applyFill="1" applyBorder="1" applyProtection="1">
      <protection locked="0"/>
    </xf>
    <xf numFmtId="0" fontId="23" fillId="13" borderId="24" xfId="0" applyFont="1" applyFill="1" applyBorder="1" applyProtection="1">
      <protection locked="0"/>
    </xf>
    <xf numFmtId="167" fontId="17" fillId="18" borderId="62" xfId="0" applyNumberFormat="1" applyFont="1" applyFill="1" applyBorder="1" applyProtection="1">
      <protection locked="0"/>
    </xf>
    <xf numFmtId="167" fontId="17" fillId="18" borderId="3" xfId="0" applyNumberFormat="1" applyFont="1" applyFill="1" applyBorder="1" applyAlignment="1" applyProtection="1">
      <alignment horizontal="right" vertical="center"/>
      <protection locked="0"/>
    </xf>
    <xf numFmtId="0" fontId="17" fillId="18" borderId="3" xfId="0" applyFont="1" applyFill="1" applyBorder="1" applyAlignment="1" applyProtection="1">
      <alignment horizontal="center" vertical="center"/>
      <protection locked="0"/>
    </xf>
    <xf numFmtId="0" fontId="17" fillId="18" borderId="3" xfId="0" applyFont="1" applyFill="1" applyBorder="1" applyProtection="1">
      <protection locked="0"/>
    </xf>
    <xf numFmtId="0" fontId="23" fillId="18" borderId="24" xfId="0" applyFont="1" applyFill="1" applyBorder="1" applyProtection="1">
      <protection locked="0"/>
    </xf>
    <xf numFmtId="167" fontId="17" fillId="18" borderId="64" xfId="0" applyNumberFormat="1" applyFont="1" applyFill="1" applyBorder="1" applyAlignment="1" applyProtection="1">
      <alignment vertical="center"/>
      <protection locked="0"/>
    </xf>
    <xf numFmtId="167" fontId="17" fillId="18" borderId="27" xfId="0" applyNumberFormat="1" applyFont="1" applyFill="1" applyBorder="1" applyAlignment="1" applyProtection="1">
      <alignment horizontal="right" vertical="center"/>
      <protection locked="0"/>
    </xf>
    <xf numFmtId="0" fontId="17" fillId="18" borderId="65" xfId="0" applyFont="1" applyFill="1" applyBorder="1" applyAlignment="1" applyProtection="1">
      <alignment horizontal="center" vertical="center"/>
      <protection locked="0"/>
    </xf>
    <xf numFmtId="0" fontId="22" fillId="13" borderId="44" xfId="0" applyFont="1" applyFill="1" applyBorder="1" applyAlignment="1" applyProtection="1">
      <alignment horizontal="left" vertical="center" wrapText="1"/>
      <protection locked="0"/>
    </xf>
    <xf numFmtId="0" fontId="22" fillId="13" borderId="54" xfId="0" applyFont="1" applyFill="1" applyBorder="1" applyAlignment="1" applyProtection="1">
      <alignment horizontal="left" vertical="center" wrapText="1"/>
      <protection locked="0"/>
    </xf>
    <xf numFmtId="0" fontId="22" fillId="13" borderId="15" xfId="0" applyFont="1" applyFill="1" applyBorder="1" applyAlignment="1" applyProtection="1">
      <alignment horizontal="left" vertical="center"/>
      <protection locked="0"/>
    </xf>
    <xf numFmtId="0" fontId="22" fillId="6" borderId="44" xfId="0" applyFont="1" applyFill="1" applyBorder="1" applyAlignment="1" applyProtection="1">
      <alignment horizontal="center" vertical="center" wrapText="1"/>
      <protection locked="0"/>
    </xf>
    <xf numFmtId="0" fontId="22" fillId="6" borderId="54" xfId="0" applyFont="1" applyFill="1" applyBorder="1" applyAlignment="1" applyProtection="1">
      <alignment horizontal="center" vertical="center" wrapText="1"/>
      <protection locked="0"/>
    </xf>
    <xf numFmtId="0" fontId="22" fillId="6" borderId="15" xfId="0" applyFont="1" applyFill="1" applyBorder="1" applyAlignment="1" applyProtection="1">
      <alignment horizontal="center" vertical="center" wrapText="1"/>
      <protection locked="0"/>
    </xf>
    <xf numFmtId="169" fontId="17" fillId="13" borderId="15" xfId="0" applyNumberFormat="1" applyFont="1" applyFill="1" applyBorder="1" applyAlignment="1" applyProtection="1">
      <alignment horizontal="center" vertical="center"/>
      <protection locked="0"/>
    </xf>
    <xf numFmtId="0" fontId="22" fillId="0" borderId="15" xfId="0" applyFont="1" applyFill="1" applyBorder="1" applyAlignment="1" applyProtection="1">
      <alignment horizontal="left" vertical="center" wrapText="1"/>
    </xf>
    <xf numFmtId="0" fontId="22" fillId="6" borderId="66" xfId="0" applyFont="1" applyFill="1" applyBorder="1" applyAlignment="1" applyProtection="1">
      <alignment horizontal="center" vertical="center" wrapText="1"/>
      <protection locked="0"/>
    </xf>
    <xf numFmtId="167" fontId="22" fillId="16" borderId="45" xfId="2" applyNumberFormat="1" applyFont="1" applyFill="1" applyBorder="1" applyAlignment="1" applyProtection="1">
      <alignment horizontal="right" vertical="center" indent="2"/>
    </xf>
    <xf numFmtId="167" fontId="17" fillId="13" borderId="58" xfId="0" applyNumberFormat="1" applyFont="1" applyFill="1" applyBorder="1" applyProtection="1">
      <protection locked="0"/>
    </xf>
    <xf numFmtId="167" fontId="17" fillId="13" borderId="48" xfId="0" applyNumberFormat="1" applyFont="1" applyFill="1" applyBorder="1" applyAlignment="1" applyProtection="1">
      <alignment horizontal="right" vertical="center"/>
      <protection locked="0"/>
    </xf>
    <xf numFmtId="167" fontId="17" fillId="18" borderId="6" xfId="0" applyNumberFormat="1" applyFont="1" applyFill="1" applyBorder="1" applyAlignment="1" applyProtection="1">
      <alignment horizontal="right" vertical="center"/>
      <protection locked="0"/>
    </xf>
    <xf numFmtId="0" fontId="23" fillId="18" borderId="67" xfId="0" applyFont="1" applyFill="1" applyBorder="1" applyAlignment="1" applyProtection="1">
      <alignment vertical="center"/>
      <protection locked="0"/>
    </xf>
    <xf numFmtId="167" fontId="22" fillId="17" borderId="20" xfId="2" applyNumberFormat="1" applyFont="1" applyFill="1" applyBorder="1" applyAlignment="1" applyProtection="1">
      <alignment horizontal="right" vertical="center" indent="2"/>
    </xf>
    <xf numFmtId="167" fontId="17" fillId="18" borderId="58" xfId="0" applyNumberFormat="1" applyFont="1" applyFill="1" applyBorder="1" applyAlignment="1" applyProtection="1">
      <alignment vertical="center"/>
      <protection locked="0"/>
    </xf>
    <xf numFmtId="0" fontId="17" fillId="18" borderId="48" xfId="0" applyFont="1" applyFill="1" applyBorder="1" applyAlignment="1" applyProtection="1">
      <alignment horizontal="center" vertical="center"/>
      <protection locked="0"/>
    </xf>
    <xf numFmtId="0" fontId="17" fillId="13" borderId="3" xfId="0" applyFont="1" applyFill="1" applyBorder="1" applyAlignment="1" applyProtection="1">
      <protection locked="0"/>
    </xf>
    <xf numFmtId="0" fontId="17" fillId="18" borderId="3" xfId="0" applyFont="1" applyFill="1" applyBorder="1" applyAlignment="1" applyProtection="1">
      <protection locked="0"/>
    </xf>
    <xf numFmtId="0" fontId="17" fillId="18" borderId="48" xfId="0" applyFont="1" applyFill="1" applyBorder="1" applyAlignment="1" applyProtection="1">
      <protection locked="0"/>
    </xf>
    <xf numFmtId="0" fontId="17" fillId="18" borderId="65" xfId="0" applyFont="1" applyFill="1" applyBorder="1" applyAlignment="1" applyProtection="1">
      <protection locked="0"/>
    </xf>
    <xf numFmtId="0" fontId="19" fillId="14" borderId="42" xfId="0" applyFont="1" applyFill="1" applyBorder="1" applyAlignment="1" applyProtection="1">
      <alignment horizontal="center" vertical="center" wrapText="1"/>
    </xf>
    <xf numFmtId="0" fontId="19" fillId="14" borderId="33" xfId="0" applyFont="1" applyFill="1" applyBorder="1" applyAlignment="1" applyProtection="1">
      <alignment horizontal="center" vertical="center" wrapText="1"/>
    </xf>
    <xf numFmtId="0" fontId="19" fillId="14" borderId="33" xfId="5" applyFont="1" applyFill="1" applyBorder="1" applyAlignment="1" applyProtection="1">
      <alignment horizontal="center" vertical="center" wrapText="1"/>
    </xf>
    <xf numFmtId="0" fontId="19" fillId="14" borderId="30" xfId="5" applyFont="1" applyFill="1" applyBorder="1" applyAlignment="1" applyProtection="1">
      <alignment horizontal="center" vertical="center" wrapText="1"/>
    </xf>
    <xf numFmtId="0" fontId="22" fillId="14" borderId="13" xfId="0" applyFont="1" applyFill="1" applyBorder="1" applyAlignment="1" applyProtection="1">
      <alignment horizontal="center" vertical="center"/>
    </xf>
    <xf numFmtId="0" fontId="17" fillId="13" borderId="21" xfId="0" applyFont="1" applyFill="1" applyBorder="1" applyAlignment="1" applyProtection="1">
      <alignment vertical="center"/>
      <protection locked="0"/>
    </xf>
    <xf numFmtId="0" fontId="22" fillId="2" borderId="3" xfId="0" applyFont="1" applyFill="1" applyBorder="1" applyAlignment="1" applyProtection="1">
      <alignment horizontal="center" vertical="center"/>
    </xf>
    <xf numFmtId="0" fontId="22" fillId="2" borderId="62" xfId="0" applyFont="1" applyFill="1" applyBorder="1" applyAlignment="1" applyProtection="1">
      <alignment horizontal="left" vertical="center"/>
    </xf>
    <xf numFmtId="0" fontId="22" fillId="2" borderId="36" xfId="0" applyFont="1" applyFill="1" applyBorder="1" applyAlignment="1" applyProtection="1">
      <alignment horizontal="left" vertical="center"/>
    </xf>
    <xf numFmtId="0" fontId="17" fillId="13" borderId="20" xfId="0" applyFont="1" applyFill="1" applyBorder="1" applyAlignment="1" applyProtection="1">
      <alignment vertical="center"/>
      <protection locked="0"/>
    </xf>
    <xf numFmtId="0" fontId="22" fillId="2" borderId="6" xfId="0" applyFont="1" applyFill="1" applyBorder="1" applyAlignment="1" applyProtection="1">
      <alignment horizontal="center" vertical="center"/>
    </xf>
    <xf numFmtId="0" fontId="22" fillId="2" borderId="56" xfId="0" applyFont="1" applyFill="1" applyBorder="1" applyAlignment="1" applyProtection="1">
      <alignment horizontal="left" vertical="center"/>
    </xf>
    <xf numFmtId="0" fontId="22" fillId="2" borderId="38" xfId="0" applyFont="1" applyFill="1" applyBorder="1" applyAlignment="1" applyProtection="1">
      <alignment horizontal="left" vertical="center"/>
    </xf>
    <xf numFmtId="0" fontId="22" fillId="14" borderId="44" xfId="0" applyFont="1" applyFill="1" applyBorder="1" applyAlignment="1" applyProtection="1">
      <alignment horizontal="center" vertical="center"/>
      <protection locked="0"/>
    </xf>
    <xf numFmtId="0" fontId="22" fillId="14" borderId="54" xfId="0" applyFont="1" applyFill="1" applyBorder="1" applyAlignment="1" applyProtection="1">
      <alignment horizontal="center" vertical="center"/>
      <protection locked="0"/>
    </xf>
    <xf numFmtId="0" fontId="22" fillId="14" borderId="54" xfId="0" applyFont="1" applyFill="1" applyBorder="1" applyAlignment="1" applyProtection="1">
      <alignment horizontal="center" vertical="center"/>
    </xf>
    <xf numFmtId="0" fontId="0" fillId="0" borderId="0" xfId="0" applyBorder="1" applyProtection="1">
      <protection locked="0"/>
    </xf>
    <xf numFmtId="0" fontId="0" fillId="13" borderId="3" xfId="0" applyFill="1" applyBorder="1" applyProtection="1">
      <protection locked="0"/>
    </xf>
    <xf numFmtId="0" fontId="0" fillId="0" borderId="0" xfId="0" applyProtection="1"/>
    <xf numFmtId="0" fontId="0" fillId="0" borderId="0" xfId="0" applyAlignment="1" applyProtection="1">
      <alignment horizontal="center"/>
      <protection locked="0"/>
    </xf>
    <xf numFmtId="9" fontId="0" fillId="19" borderId="0" xfId="3" applyFont="1" applyFill="1" applyBorder="1" applyProtection="1"/>
    <xf numFmtId="0" fontId="0" fillId="0" borderId="0" xfId="0" applyFill="1" applyBorder="1" applyProtection="1">
      <protection locked="0"/>
    </xf>
    <xf numFmtId="0" fontId="1" fillId="0" borderId="0" xfId="0" applyFont="1" applyProtection="1"/>
    <xf numFmtId="0" fontId="0" fillId="0" borderId="57" xfId="0" applyBorder="1" applyProtection="1">
      <protection locked="0"/>
    </xf>
    <xf numFmtId="9" fontId="0" fillId="13" borderId="3" xfId="3" applyFont="1" applyFill="1" applyBorder="1" applyProtection="1">
      <protection locked="0"/>
    </xf>
    <xf numFmtId="0" fontId="0" fillId="0" borderId="0" xfId="0" applyFill="1" applyProtection="1">
      <protection locked="0"/>
    </xf>
    <xf numFmtId="0" fontId="0" fillId="0" borderId="0" xfId="0" applyFill="1" applyAlignment="1" applyProtection="1">
      <alignment horizontal="center"/>
      <protection locked="0"/>
    </xf>
    <xf numFmtId="0" fontId="26" fillId="0" borderId="0" xfId="0" applyFont="1" applyFill="1" applyBorder="1" applyAlignment="1" applyProtection="1">
      <alignment vertical="top"/>
      <protection locked="0"/>
    </xf>
    <xf numFmtId="0" fontId="0" fillId="2" borderId="0" xfId="0" applyFill="1" applyProtection="1"/>
    <xf numFmtId="0" fontId="26" fillId="2" borderId="0" xfId="0" applyFont="1" applyFill="1" applyBorder="1" applyAlignment="1" applyProtection="1">
      <alignment vertical="top"/>
    </xf>
    <xf numFmtId="0" fontId="26" fillId="20" borderId="0" xfId="0" applyFont="1" applyFill="1" applyBorder="1" applyAlignment="1" applyProtection="1">
      <alignment vertical="top"/>
    </xf>
    <xf numFmtId="44" fontId="28" fillId="5" borderId="0" xfId="0" applyNumberFormat="1" applyFont="1" applyFill="1" applyProtection="1"/>
    <xf numFmtId="0" fontId="28" fillId="5" borderId="47" xfId="0" applyFont="1" applyFill="1" applyBorder="1" applyAlignment="1" applyProtection="1">
      <alignment vertical="top"/>
    </xf>
    <xf numFmtId="44" fontId="29" fillId="12" borderId="3" xfId="0" applyNumberFormat="1" applyFont="1" applyFill="1" applyBorder="1" applyAlignment="1" applyProtection="1">
      <alignment vertical="center" wrapText="1"/>
    </xf>
    <xf numFmtId="44" fontId="29" fillId="0" borderId="3" xfId="4" applyFont="1" applyFill="1" applyBorder="1" applyAlignment="1" applyProtection="1">
      <alignment horizontal="center" vertical="center" wrapText="1"/>
    </xf>
    <xf numFmtId="44" fontId="29" fillId="11" borderId="3" xfId="4" applyFont="1" applyFill="1" applyBorder="1" applyAlignment="1" applyProtection="1">
      <alignment horizontal="center" vertical="center" wrapText="1"/>
      <protection locked="0"/>
    </xf>
    <xf numFmtId="0" fontId="26" fillId="20" borderId="3" xfId="0" applyFont="1" applyFill="1" applyBorder="1" applyAlignment="1" applyProtection="1">
      <alignment vertical="top"/>
    </xf>
    <xf numFmtId="44" fontId="0" fillId="0" borderId="0" xfId="0" applyNumberFormat="1" applyProtection="1">
      <protection locked="0"/>
    </xf>
    <xf numFmtId="0" fontId="30" fillId="17" borderId="3" xfId="0" applyFont="1" applyFill="1" applyBorder="1" applyAlignment="1" applyProtection="1">
      <alignment horizontal="left" vertical="top" wrapText="1"/>
    </xf>
    <xf numFmtId="0" fontId="26" fillId="17" borderId="3" xfId="0" applyFont="1" applyFill="1" applyBorder="1" applyAlignment="1" applyProtection="1">
      <alignment horizontal="center" vertical="center" wrapText="1"/>
    </xf>
    <xf numFmtId="4" fontId="5" fillId="0" borderId="0" xfId="6" applyProtection="1">
      <alignment vertical="top"/>
      <protection locked="0"/>
    </xf>
    <xf numFmtId="4" fontId="33" fillId="0" borderId="0" xfId="6" applyFont="1" applyProtection="1">
      <alignment vertical="top"/>
      <protection locked="0"/>
    </xf>
    <xf numFmtId="4" fontId="0" fillId="0" borderId="0" xfId="6" applyFont="1" applyProtection="1">
      <alignment vertical="top"/>
      <protection locked="0"/>
    </xf>
    <xf numFmtId="4" fontId="34" fillId="0" borderId="0" xfId="6" applyFont="1" applyAlignment="1" applyProtection="1">
      <protection locked="0"/>
    </xf>
    <xf numFmtId="4" fontId="1" fillId="0" borderId="0" xfId="6" applyFont="1" applyAlignment="1" applyProtection="1">
      <alignment wrapText="1"/>
      <protection locked="0"/>
    </xf>
    <xf numFmtId="167" fontId="36" fillId="17" borderId="26" xfId="6" applyNumberFormat="1" applyFont="1" applyFill="1" applyBorder="1" applyProtection="1">
      <alignment vertical="top"/>
    </xf>
    <xf numFmtId="167" fontId="36" fillId="17" borderId="23" xfId="6" applyNumberFormat="1" applyFont="1" applyFill="1" applyBorder="1" applyProtection="1">
      <alignment vertical="top"/>
    </xf>
    <xf numFmtId="9" fontId="5" fillId="20" borderId="3" xfId="3" applyFont="1" applyFill="1" applyBorder="1" applyAlignment="1" applyProtection="1">
      <alignment horizontal="center" vertical="center"/>
    </xf>
    <xf numFmtId="4" fontId="0" fillId="13" borderId="3" xfId="6" applyFont="1" applyFill="1" applyBorder="1" applyAlignment="1" applyProtection="1">
      <alignment horizontal="center" vertical="center"/>
      <protection locked="0"/>
    </xf>
    <xf numFmtId="4" fontId="0" fillId="13" borderId="3" xfId="6" applyFont="1" applyFill="1" applyBorder="1" applyAlignment="1" applyProtection="1">
      <alignment horizontal="left" wrapText="1"/>
      <protection locked="0"/>
    </xf>
    <xf numFmtId="4" fontId="1" fillId="13" borderId="24" xfId="6" applyFont="1" applyFill="1" applyBorder="1" applyAlignment="1" applyProtection="1">
      <alignment vertical="center"/>
      <protection locked="0"/>
    </xf>
    <xf numFmtId="4" fontId="1" fillId="20" borderId="24" xfId="6" applyFont="1" applyFill="1" applyBorder="1" applyAlignment="1" applyProtection="1">
      <alignment vertical="center"/>
    </xf>
    <xf numFmtId="4" fontId="39" fillId="17" borderId="6" xfId="6" applyFont="1" applyFill="1" applyBorder="1" applyAlignment="1" applyProtection="1">
      <alignment horizontal="center" vertical="center" wrapText="1"/>
    </xf>
    <xf numFmtId="4" fontId="39" fillId="17" borderId="34" xfId="6" applyFont="1" applyFill="1" applyBorder="1" applyAlignment="1" applyProtection="1">
      <alignment horizontal="center" vertical="center"/>
    </xf>
    <xf numFmtId="4" fontId="39" fillId="17" borderId="34" xfId="6" applyFont="1" applyFill="1" applyBorder="1" applyAlignment="1" applyProtection="1">
      <alignment horizontal="center" vertical="center" wrapText="1"/>
    </xf>
    <xf numFmtId="4" fontId="39" fillId="17" borderId="6" xfId="6" applyFont="1" applyFill="1" applyBorder="1" applyAlignment="1" applyProtection="1">
      <alignment horizontal="center" vertical="center"/>
    </xf>
    <xf numFmtId="4" fontId="39" fillId="17" borderId="28" xfId="6" applyFont="1" applyFill="1" applyBorder="1" applyAlignment="1" applyProtection="1">
      <alignment horizontal="center" vertical="center"/>
    </xf>
    <xf numFmtId="0" fontId="40" fillId="0" borderId="0" xfId="5" applyFont="1" applyFill="1" applyAlignment="1" applyProtection="1">
      <alignment horizontal="center" vertical="top" wrapText="1"/>
      <protection locked="0"/>
    </xf>
    <xf numFmtId="0" fontId="0" fillId="0" borderId="0" xfId="0" applyFont="1" applyAlignment="1">
      <alignment vertical="top"/>
    </xf>
    <xf numFmtId="170" fontId="3" fillId="5" borderId="0" xfId="4" applyNumberFormat="1" applyFont="1" applyFill="1"/>
    <xf numFmtId="0" fontId="3" fillId="5" borderId="0" xfId="0" applyFont="1" applyFill="1"/>
    <xf numFmtId="0" fontId="3" fillId="5" borderId="0" xfId="0" applyFont="1" applyFill="1" applyAlignment="1">
      <alignment vertical="top"/>
    </xf>
    <xf numFmtId="0" fontId="1" fillId="2" borderId="3" xfId="0" applyFont="1" applyFill="1" applyBorder="1" applyAlignment="1" applyProtection="1">
      <alignment horizontal="center" vertical="center" wrapText="1"/>
    </xf>
    <xf numFmtId="4" fontId="5" fillId="0" borderId="0" xfId="6">
      <alignment vertical="top"/>
    </xf>
    <xf numFmtId="4" fontId="43" fillId="0" borderId="0" xfId="6" applyFont="1">
      <alignment vertical="top"/>
    </xf>
    <xf numFmtId="4" fontId="20" fillId="0" borderId="0" xfId="6" applyFont="1" applyAlignment="1">
      <alignment vertical="center"/>
    </xf>
    <xf numFmtId="4" fontId="44" fillId="0" borderId="4" xfId="6" applyFont="1" applyBorder="1" applyAlignment="1">
      <alignment vertical="top" wrapText="1"/>
    </xf>
    <xf numFmtId="4" fontId="4" fillId="0" borderId="75" xfId="6" applyFont="1" applyBorder="1" applyAlignment="1">
      <alignment vertical="top" wrapText="1"/>
    </xf>
    <xf numFmtId="4" fontId="4" fillId="0" borderId="77" xfId="6" applyFont="1" applyBorder="1" applyAlignment="1">
      <alignment vertical="top" wrapText="1"/>
    </xf>
    <xf numFmtId="4" fontId="45" fillId="0" borderId="84" xfId="6" applyFont="1" applyBorder="1" applyAlignment="1">
      <alignment vertical="top" wrapText="1"/>
    </xf>
    <xf numFmtId="4" fontId="44" fillId="0" borderId="0" xfId="6" applyFont="1" applyBorder="1">
      <alignment vertical="top"/>
    </xf>
    <xf numFmtId="4" fontId="44" fillId="0" borderId="76" xfId="6" applyFont="1" applyBorder="1" applyAlignment="1">
      <alignment horizontal="left" vertical="top" wrapText="1"/>
    </xf>
    <xf numFmtId="4" fontId="44" fillId="0" borderId="86" xfId="6" applyFont="1" applyBorder="1" applyAlignment="1">
      <alignment vertical="top" wrapText="1"/>
    </xf>
    <xf numFmtId="4" fontId="45" fillId="0" borderId="87" xfId="6" applyFont="1" applyBorder="1" applyAlignment="1">
      <alignment vertical="top" wrapText="1"/>
    </xf>
    <xf numFmtId="4" fontId="4" fillId="0" borderId="88" xfId="6" applyFont="1" applyBorder="1" applyAlignment="1">
      <alignment vertical="top" wrapText="1"/>
    </xf>
    <xf numFmtId="4" fontId="45" fillId="0" borderId="76" xfId="6" applyFont="1" applyBorder="1" applyAlignment="1">
      <alignment vertical="top" wrapText="1"/>
    </xf>
    <xf numFmtId="4" fontId="46" fillId="0" borderId="18" xfId="6" applyFont="1" applyBorder="1" applyAlignment="1">
      <alignment vertical="top" wrapText="1"/>
    </xf>
    <xf numFmtId="4" fontId="4" fillId="0" borderId="89" xfId="6" applyFont="1" applyBorder="1" applyAlignment="1">
      <alignment vertical="top" wrapText="1"/>
    </xf>
    <xf numFmtId="4" fontId="45" fillId="0" borderId="18" xfId="6" applyFont="1" applyBorder="1" applyAlignment="1">
      <alignment vertical="top" wrapText="1"/>
    </xf>
    <xf numFmtId="4" fontId="44" fillId="0" borderId="18" xfId="6" applyFont="1" applyBorder="1" applyAlignment="1">
      <alignment vertical="top" wrapText="1"/>
    </xf>
    <xf numFmtId="4" fontId="45" fillId="0" borderId="81" xfId="6" applyFont="1" applyBorder="1" applyAlignment="1">
      <alignment vertical="top" wrapText="1"/>
    </xf>
    <xf numFmtId="4" fontId="45" fillId="0" borderId="90" xfId="6" applyFont="1" applyBorder="1" applyAlignment="1">
      <alignment vertical="top" wrapText="1"/>
    </xf>
    <xf numFmtId="4" fontId="4" fillId="0" borderId="91" xfId="6" applyFont="1" applyBorder="1" applyAlignment="1">
      <alignment vertical="top" wrapText="1"/>
    </xf>
    <xf numFmtId="4" fontId="45" fillId="0" borderId="92" xfId="6" applyFont="1" applyBorder="1" applyAlignment="1">
      <alignment vertical="top" wrapText="1"/>
    </xf>
    <xf numFmtId="4" fontId="45" fillId="0" borderId="4" xfId="6" applyFont="1" applyBorder="1" applyAlignment="1">
      <alignment vertical="top" wrapText="1"/>
    </xf>
    <xf numFmtId="4" fontId="48" fillId="0" borderId="93" xfId="6" applyFont="1" applyFill="1" applyBorder="1" applyAlignment="1">
      <alignment horizontal="left" vertical="top" wrapText="1"/>
    </xf>
    <xf numFmtId="4" fontId="5" fillId="0" borderId="51" xfId="6" applyFill="1" applyBorder="1" applyAlignment="1">
      <alignment vertical="top" wrapText="1"/>
    </xf>
    <xf numFmtId="4" fontId="48" fillId="0" borderId="76" xfId="6" applyFont="1" applyFill="1" applyBorder="1" applyAlignment="1">
      <alignment horizontal="left" vertical="top" wrapText="1"/>
    </xf>
    <xf numFmtId="4" fontId="5" fillId="0" borderId="18" xfId="6" applyFill="1" applyBorder="1" applyAlignment="1">
      <alignment vertical="top" wrapText="1"/>
    </xf>
    <xf numFmtId="4" fontId="48" fillId="0" borderId="18" xfId="6" applyFont="1" applyFill="1" applyBorder="1" applyAlignment="1">
      <alignment horizontal="left" vertical="top" wrapText="1"/>
    </xf>
    <xf numFmtId="4" fontId="44" fillId="0" borderId="18" xfId="6" applyFont="1" applyBorder="1" applyAlignment="1">
      <alignment horizontal="left" vertical="top" wrapText="1"/>
    </xf>
    <xf numFmtId="4" fontId="44" fillId="0" borderId="76" xfId="6" applyFont="1" applyFill="1" applyBorder="1" applyAlignment="1">
      <alignment vertical="top" wrapText="1"/>
    </xf>
    <xf numFmtId="4" fontId="44" fillId="0" borderId="18" xfId="6" applyFont="1" applyFill="1" applyBorder="1" applyAlignment="1">
      <alignment vertical="top" wrapText="1"/>
    </xf>
    <xf numFmtId="4" fontId="44" fillId="0" borderId="93" xfId="6" applyFont="1" applyBorder="1" applyAlignment="1">
      <alignment vertical="top" wrapText="1"/>
    </xf>
    <xf numFmtId="4" fontId="44" fillId="0" borderId="51" xfId="6" applyFont="1" applyBorder="1" applyAlignment="1">
      <alignment vertical="top" wrapText="1"/>
    </xf>
    <xf numFmtId="4" fontId="4" fillId="0" borderId="94" xfId="6" applyFont="1" applyBorder="1" applyAlignment="1">
      <alignment vertical="top" wrapText="1"/>
    </xf>
    <xf numFmtId="4" fontId="0" fillId="0" borderId="93" xfId="6" applyFont="1" applyBorder="1" applyAlignment="1">
      <alignment horizontal="left" vertical="top" wrapText="1"/>
    </xf>
    <xf numFmtId="4" fontId="44" fillId="0" borderId="51" xfId="6" applyFont="1" applyBorder="1" applyAlignment="1">
      <alignment horizontal="left" vertical="top" wrapText="1"/>
    </xf>
    <xf numFmtId="4" fontId="0" fillId="0" borderId="76" xfId="6" applyFont="1" applyBorder="1" applyAlignment="1">
      <alignment horizontal="left" vertical="top" wrapText="1"/>
    </xf>
    <xf numFmtId="4" fontId="44" fillId="0" borderId="81" xfId="6" applyFont="1" applyBorder="1" applyAlignment="1">
      <alignment horizontal="left" vertical="top" wrapText="1"/>
    </xf>
    <xf numFmtId="4" fontId="44" fillId="0" borderId="90" xfId="6" applyFont="1" applyBorder="1" applyAlignment="1">
      <alignment vertical="top" wrapText="1"/>
    </xf>
    <xf numFmtId="4" fontId="29" fillId="0" borderId="0" xfId="6" applyFont="1">
      <alignment vertical="top"/>
    </xf>
    <xf numFmtId="4" fontId="2" fillId="16" borderId="96" xfId="6" applyFont="1" applyFill="1" applyBorder="1" applyAlignment="1">
      <alignment horizontal="center" vertical="center" wrapText="1"/>
    </xf>
    <xf numFmtId="4" fontId="2" fillId="16" borderId="44" xfId="6" applyFont="1" applyFill="1" applyBorder="1" applyAlignment="1">
      <alignment horizontal="center" vertical="center" wrapText="1"/>
    </xf>
    <xf numFmtId="4" fontId="2" fillId="16" borderId="98" xfId="6" applyFont="1" applyFill="1" applyBorder="1" applyAlignment="1">
      <alignment horizontal="center" vertical="center" wrapText="1"/>
    </xf>
    <xf numFmtId="4" fontId="5" fillId="0" borderId="0" xfId="6" applyAlignment="1">
      <alignment vertical="top" wrapText="1"/>
    </xf>
    <xf numFmtId="4" fontId="5" fillId="0" borderId="0" xfId="6" applyAlignment="1">
      <alignment vertical="top"/>
    </xf>
    <xf numFmtId="4" fontId="45" fillId="0" borderId="106" xfId="6" applyFont="1" applyBorder="1" applyAlignment="1">
      <alignment vertical="top" wrapText="1"/>
    </xf>
    <xf numFmtId="4" fontId="5" fillId="0" borderId="49" xfId="6" applyBorder="1" applyProtection="1">
      <alignment vertical="top"/>
      <protection locked="0"/>
    </xf>
    <xf numFmtId="4" fontId="5" fillId="0" borderId="0" xfId="6" applyBorder="1" applyProtection="1">
      <alignment vertical="top"/>
      <protection locked="0"/>
    </xf>
    <xf numFmtId="0" fontId="0" fillId="4" borderId="44" xfId="0" applyFont="1" applyFill="1" applyBorder="1" applyAlignment="1">
      <alignment horizontal="center" vertical="center"/>
    </xf>
    <xf numFmtId="171" fontId="0" fillId="13" borderId="3" xfId="6" applyNumberFormat="1" applyFont="1" applyFill="1" applyBorder="1" applyAlignment="1" applyProtection="1">
      <alignment horizontal="center" vertical="center"/>
      <protection locked="0"/>
    </xf>
    <xf numFmtId="171" fontId="0" fillId="13" borderId="48" xfId="6" applyNumberFormat="1" applyFont="1" applyFill="1" applyBorder="1" applyAlignment="1" applyProtection="1">
      <alignment horizontal="center" vertical="center"/>
      <protection locked="0"/>
    </xf>
    <xf numFmtId="172" fontId="0" fillId="13" borderId="3" xfId="6" applyNumberFormat="1" applyFont="1" applyFill="1" applyBorder="1" applyAlignment="1" applyProtection="1">
      <alignment horizontal="right" vertical="center"/>
      <protection locked="0"/>
    </xf>
    <xf numFmtId="172" fontId="0" fillId="13" borderId="1" xfId="6" applyNumberFormat="1" applyFont="1" applyFill="1" applyBorder="1" applyAlignment="1" applyProtection="1">
      <alignment horizontal="right" vertical="center"/>
      <protection locked="0"/>
    </xf>
    <xf numFmtId="172" fontId="0" fillId="13" borderId="60" xfId="6" applyNumberFormat="1" applyFont="1" applyFill="1" applyBorder="1" applyAlignment="1" applyProtection="1">
      <alignment horizontal="right" vertical="center"/>
      <protection locked="0"/>
    </xf>
    <xf numFmtId="0" fontId="25" fillId="14" borderId="15" xfId="0" applyFont="1" applyFill="1" applyBorder="1" applyAlignment="1" applyProtection="1">
      <alignment horizontal="center" vertical="center"/>
    </xf>
    <xf numFmtId="0" fontId="22" fillId="14" borderId="44" xfId="0" applyFont="1" applyFill="1" applyBorder="1" applyAlignment="1" applyProtection="1">
      <alignment horizontal="center" vertical="center"/>
    </xf>
    <xf numFmtId="0" fontId="17" fillId="0" borderId="0" xfId="0" applyFont="1" applyProtection="1"/>
    <xf numFmtId="0" fontId="22" fillId="6" borderId="15" xfId="0" applyFont="1" applyFill="1" applyBorder="1" applyAlignment="1" applyProtection="1">
      <alignment horizontal="center" vertical="center" wrapText="1"/>
    </xf>
    <xf numFmtId="0" fontId="22" fillId="6" borderId="54" xfId="0" applyFont="1" applyFill="1" applyBorder="1" applyAlignment="1" applyProtection="1">
      <alignment horizontal="center" vertical="center" wrapText="1"/>
    </xf>
    <xf numFmtId="0" fontId="22" fillId="6" borderId="44" xfId="0" applyFont="1" applyFill="1" applyBorder="1" applyAlignment="1" applyProtection="1">
      <alignment horizontal="center" vertical="center" wrapText="1"/>
    </xf>
    <xf numFmtId="0" fontId="22" fillId="0" borderId="54" xfId="0" applyFont="1" applyFill="1" applyBorder="1" applyAlignment="1" applyProtection="1">
      <alignment horizontal="left" vertical="center" wrapText="1"/>
      <protection locked="0"/>
    </xf>
    <xf numFmtId="0" fontId="22" fillId="0" borderId="44" xfId="0" applyFont="1" applyFill="1" applyBorder="1" applyAlignment="1" applyProtection="1">
      <alignment horizontal="left" vertical="center" wrapText="1"/>
      <protection locked="0"/>
    </xf>
    <xf numFmtId="0" fontId="17" fillId="0" borderId="0" xfId="0" applyFont="1" applyBorder="1" applyProtection="1"/>
    <xf numFmtId="0" fontId="22" fillId="16" borderId="61" xfId="0" applyFont="1" applyFill="1" applyBorder="1" applyAlignment="1" applyProtection="1">
      <alignment horizontal="left" vertical="center" wrapText="1"/>
    </xf>
    <xf numFmtId="0" fontId="17" fillId="0" borderId="0" xfId="0" applyFont="1" applyAlignment="1" applyProtection="1">
      <alignment wrapText="1"/>
    </xf>
    <xf numFmtId="0" fontId="22" fillId="14" borderId="54" xfId="0" applyFont="1" applyFill="1" applyBorder="1" applyAlignment="1" applyProtection="1">
      <alignment horizontal="right" vertical="center"/>
    </xf>
    <xf numFmtId="0" fontId="22" fillId="14" borderId="44" xfId="0" applyFont="1" applyFill="1" applyBorder="1" applyAlignment="1" applyProtection="1">
      <alignment horizontal="right" vertical="center"/>
    </xf>
    <xf numFmtId="168" fontId="22" fillId="0" borderId="0" xfId="2" applyNumberFormat="1" applyFont="1" applyFill="1" applyBorder="1" applyAlignment="1" applyProtection="1">
      <alignment horizontal="right" vertical="center"/>
    </xf>
    <xf numFmtId="168" fontId="22" fillId="0" borderId="0" xfId="2" applyNumberFormat="1" applyFont="1" applyFill="1" applyBorder="1" applyAlignment="1" applyProtection="1">
      <alignment horizontal="right" vertical="center" indent="2"/>
    </xf>
    <xf numFmtId="0" fontId="19" fillId="14" borderId="59" xfId="0" applyFont="1" applyFill="1" applyBorder="1" applyAlignment="1" applyProtection="1">
      <alignment horizontal="left" vertical="center" wrapText="1"/>
    </xf>
    <xf numFmtId="0" fontId="19" fillId="14" borderId="58" xfId="0" applyFont="1" applyFill="1" applyBorder="1" applyAlignment="1" applyProtection="1">
      <alignment horizontal="left" vertical="center" wrapText="1"/>
    </xf>
    <xf numFmtId="0" fontId="18" fillId="0" borderId="57" xfId="0" applyFont="1" applyBorder="1" applyAlignment="1" applyProtection="1">
      <alignment horizontal="left" vertical="top" wrapText="1"/>
      <protection locked="0"/>
    </xf>
    <xf numFmtId="0" fontId="18" fillId="0" borderId="56" xfId="0" applyFont="1" applyBorder="1" applyAlignment="1" applyProtection="1">
      <alignment horizontal="left" vertical="top" wrapText="1"/>
      <protection locked="0"/>
    </xf>
    <xf numFmtId="0" fontId="21" fillId="0" borderId="0" xfId="0" applyFont="1" applyBorder="1" applyAlignment="1" applyProtection="1">
      <alignment vertical="center" wrapText="1"/>
    </xf>
    <xf numFmtId="3" fontId="17" fillId="0" borderId="0" xfId="0" applyNumberFormat="1" applyFont="1" applyBorder="1" applyAlignment="1" applyProtection="1">
      <alignment horizontal="right" vertical="center"/>
    </xf>
    <xf numFmtId="0" fontId="17" fillId="0" borderId="0" xfId="0" applyFont="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0" fontId="18" fillId="0" borderId="0" xfId="0" applyFont="1" applyBorder="1" applyAlignment="1" applyProtection="1">
      <alignment horizontal="left" vertical="top" wrapText="1"/>
    </xf>
    <xf numFmtId="0" fontId="25" fillId="23" borderId="60" xfId="0" applyFont="1" applyFill="1" applyBorder="1" applyAlignment="1" applyProtection="1">
      <alignment horizontal="center"/>
    </xf>
    <xf numFmtId="0" fontId="17" fillId="23" borderId="58" xfId="0" applyFont="1" applyFill="1" applyBorder="1" applyAlignment="1" applyProtection="1">
      <alignment horizontal="center"/>
    </xf>
    <xf numFmtId="0" fontId="22" fillId="11" borderId="49" xfId="0" applyFont="1" applyFill="1" applyBorder="1" applyAlignment="1" applyProtection="1">
      <alignment horizontal="center" vertical="center" wrapText="1"/>
    </xf>
    <xf numFmtId="44" fontId="22" fillId="11" borderId="107" xfId="4" applyFont="1" applyFill="1" applyBorder="1" applyAlignment="1" applyProtection="1">
      <alignment horizontal="center"/>
    </xf>
    <xf numFmtId="0" fontId="17" fillId="0" borderId="0" xfId="0" applyFont="1" applyFill="1" applyBorder="1" applyAlignment="1" applyProtection="1">
      <alignment horizontal="center"/>
    </xf>
    <xf numFmtId="0" fontId="17" fillId="12" borderId="49" xfId="0" applyFont="1" applyFill="1" applyBorder="1" applyAlignment="1" applyProtection="1">
      <alignment horizontal="left" vertical="top" wrapText="1"/>
    </xf>
    <xf numFmtId="0" fontId="17" fillId="12" borderId="107"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2" fillId="11" borderId="3" xfId="0" applyFont="1" applyFill="1" applyBorder="1" applyAlignment="1" applyProtection="1">
      <alignment horizontal="center" vertical="center" wrapText="1"/>
    </xf>
    <xf numFmtId="172" fontId="17" fillId="0" borderId="0" xfId="4" applyNumberFormat="1" applyFont="1" applyBorder="1" applyAlignment="1" applyProtection="1">
      <alignment horizontal="right" wrapText="1"/>
    </xf>
    <xf numFmtId="5" fontId="17" fillId="0" borderId="0" xfId="4" applyNumberFormat="1" applyFont="1" applyBorder="1" applyAlignment="1" applyProtection="1">
      <alignment horizontal="right" wrapText="1"/>
    </xf>
    <xf numFmtId="170" fontId="17" fillId="0" borderId="0" xfId="4" applyNumberFormat="1" applyFont="1" applyBorder="1" applyAlignment="1" applyProtection="1">
      <alignment horizontal="left" wrapText="1"/>
    </xf>
    <xf numFmtId="0" fontId="17" fillId="0" borderId="0" xfId="0" applyFont="1" applyBorder="1" applyAlignment="1" applyProtection="1">
      <alignment horizontal="left" wrapText="1"/>
    </xf>
    <xf numFmtId="0" fontId="16" fillId="0" borderId="0" xfId="0" applyFont="1" applyBorder="1" applyAlignment="1" applyProtection="1">
      <alignment vertical="center" wrapText="1"/>
    </xf>
    <xf numFmtId="4" fontId="0" fillId="0" borderId="0" xfId="6" applyFont="1">
      <alignment vertical="top"/>
    </xf>
    <xf numFmtId="0" fontId="17" fillId="25" borderId="34" xfId="0" applyFont="1" applyFill="1" applyBorder="1" applyAlignment="1" applyProtection="1">
      <alignment vertical="center"/>
      <protection locked="0"/>
    </xf>
    <xf numFmtId="0" fontId="17" fillId="25" borderId="57" xfId="0" applyFont="1" applyFill="1" applyBorder="1" applyAlignment="1" applyProtection="1">
      <alignment vertical="center"/>
      <protection locked="0"/>
    </xf>
    <xf numFmtId="0" fontId="17" fillId="25" borderId="56" xfId="0" applyFont="1" applyFill="1" applyBorder="1" applyAlignment="1" applyProtection="1">
      <alignment vertical="center"/>
      <protection locked="0"/>
    </xf>
    <xf numFmtId="0" fontId="17" fillId="25" borderId="1" xfId="0" applyFont="1" applyFill="1" applyBorder="1" applyAlignment="1" applyProtection="1">
      <alignment vertical="center"/>
      <protection locked="0"/>
    </xf>
    <xf numFmtId="0" fontId="17" fillId="25" borderId="2" xfId="0" applyFont="1" applyFill="1" applyBorder="1" applyAlignment="1" applyProtection="1">
      <alignment vertical="center"/>
      <protection locked="0"/>
    </xf>
    <xf numFmtId="0" fontId="17" fillId="25" borderId="62" xfId="0" applyFont="1" applyFill="1" applyBorder="1" applyAlignment="1" applyProtection="1">
      <alignment vertical="center"/>
      <protection locked="0"/>
    </xf>
    <xf numFmtId="0" fontId="17" fillId="25" borderId="20" xfId="0" applyFont="1" applyFill="1" applyBorder="1" applyAlignment="1" applyProtection="1">
      <alignment vertical="center"/>
      <protection locked="0"/>
    </xf>
    <xf numFmtId="0" fontId="17" fillId="25" borderId="21" xfId="0" applyFont="1" applyFill="1" applyBorder="1" applyAlignment="1" applyProtection="1">
      <alignment vertical="center"/>
      <protection locked="0"/>
    </xf>
    <xf numFmtId="169" fontId="17" fillId="25" borderId="15" xfId="0" applyNumberFormat="1" applyFont="1" applyFill="1" applyBorder="1" applyAlignment="1" applyProtection="1">
      <alignment horizontal="center" vertical="center"/>
      <protection locked="0"/>
    </xf>
    <xf numFmtId="0" fontId="22" fillId="25" borderId="15" xfId="0" applyFont="1" applyFill="1" applyBorder="1" applyAlignment="1" applyProtection="1">
      <alignment horizontal="left" vertical="center"/>
      <protection locked="0"/>
    </xf>
    <xf numFmtId="0" fontId="22" fillId="25" borderId="15" xfId="0" applyFont="1" applyFill="1" applyBorder="1" applyAlignment="1" applyProtection="1">
      <alignment horizontal="left" vertical="center" wrapText="1"/>
      <protection locked="0"/>
    </xf>
    <xf numFmtId="0" fontId="17" fillId="26" borderId="65" xfId="0" applyFont="1" applyFill="1" applyBorder="1" applyAlignment="1" applyProtection="1">
      <alignment horizontal="center" vertical="center"/>
      <protection locked="0"/>
    </xf>
    <xf numFmtId="0" fontId="17" fillId="26" borderId="63" xfId="0" applyFont="1" applyFill="1" applyBorder="1" applyAlignment="1" applyProtection="1">
      <alignment horizontal="center" vertical="center"/>
      <protection locked="0"/>
    </xf>
    <xf numFmtId="167" fontId="17" fillId="26" borderId="27" xfId="0" applyNumberFormat="1" applyFont="1" applyFill="1" applyBorder="1" applyAlignment="1" applyProtection="1">
      <alignment horizontal="right" vertical="center"/>
      <protection locked="0"/>
    </xf>
    <xf numFmtId="167" fontId="17" fillId="26" borderId="64" xfId="0" applyNumberFormat="1" applyFont="1" applyFill="1" applyBorder="1" applyAlignment="1" applyProtection="1">
      <alignment vertical="center"/>
      <protection locked="0"/>
    </xf>
    <xf numFmtId="0" fontId="17" fillId="26" borderId="60" xfId="0" applyFont="1" applyFill="1" applyBorder="1" applyAlignment="1" applyProtection="1">
      <alignment horizontal="center" vertical="center"/>
      <protection locked="0"/>
    </xf>
    <xf numFmtId="167" fontId="17" fillId="26" borderId="6" xfId="0" applyNumberFormat="1" applyFont="1" applyFill="1" applyBorder="1" applyAlignment="1" applyProtection="1">
      <alignment horizontal="right" vertical="center"/>
      <protection locked="0"/>
    </xf>
    <xf numFmtId="167" fontId="17" fillId="26" borderId="58" xfId="0" applyNumberFormat="1" applyFont="1" applyFill="1" applyBorder="1" applyAlignment="1" applyProtection="1">
      <alignment vertical="center"/>
      <protection locked="0"/>
    </xf>
    <xf numFmtId="0" fontId="23" fillId="26" borderId="24" xfId="0" applyFont="1" applyFill="1" applyBorder="1" applyProtection="1">
      <protection locked="0"/>
    </xf>
    <xf numFmtId="0" fontId="17" fillId="26" borderId="3" xfId="0" applyFont="1" applyFill="1" applyBorder="1" applyProtection="1">
      <protection locked="0"/>
    </xf>
    <xf numFmtId="0" fontId="17" fillId="26" borderId="3" xfId="0" applyFont="1" applyFill="1" applyBorder="1" applyAlignment="1" applyProtection="1">
      <alignment horizontal="center" vertical="center"/>
      <protection locked="0"/>
    </xf>
    <xf numFmtId="167" fontId="17" fillId="26" borderId="3" xfId="0" applyNumberFormat="1" applyFont="1" applyFill="1" applyBorder="1" applyAlignment="1" applyProtection="1">
      <alignment horizontal="right" vertical="center"/>
      <protection locked="0"/>
    </xf>
    <xf numFmtId="167" fontId="17" fillId="26" borderId="62" xfId="0" applyNumberFormat="1" applyFont="1" applyFill="1" applyBorder="1" applyProtection="1">
      <protection locked="0"/>
    </xf>
    <xf numFmtId="0" fontId="22" fillId="25" borderId="54" xfId="0" applyFont="1" applyFill="1" applyBorder="1" applyAlignment="1" applyProtection="1">
      <alignment horizontal="left" vertical="center" wrapText="1"/>
      <protection locked="0"/>
    </xf>
    <xf numFmtId="0" fontId="18" fillId="25" borderId="34" xfId="0" applyFont="1" applyFill="1" applyBorder="1" applyAlignment="1" applyProtection="1">
      <alignment horizontal="left" vertical="top" wrapText="1"/>
      <protection locked="0"/>
    </xf>
    <xf numFmtId="0" fontId="22" fillId="25" borderId="3" xfId="0" applyFont="1" applyFill="1" applyBorder="1" applyAlignment="1" applyProtection="1">
      <alignment vertical="center"/>
      <protection locked="0"/>
    </xf>
    <xf numFmtId="0" fontId="53" fillId="0" borderId="0" xfId="0" applyFont="1" applyProtection="1"/>
    <xf numFmtId="0" fontId="54" fillId="0" borderId="0" xfId="0" applyFont="1" applyProtection="1"/>
    <xf numFmtId="0" fontId="54" fillId="0" borderId="0" xfId="0" applyFont="1" applyProtection="1">
      <protection locked="0"/>
    </xf>
    <xf numFmtId="0" fontId="56" fillId="0" borderId="0" xfId="0" applyFont="1" applyFill="1" applyBorder="1" applyAlignment="1" applyProtection="1">
      <alignment vertical="center" wrapText="1"/>
      <protection locked="0"/>
    </xf>
    <xf numFmtId="4" fontId="55" fillId="0" borderId="0" xfId="6" applyFont="1" applyFill="1" applyBorder="1" applyAlignment="1">
      <alignment vertical="top" wrapText="1"/>
    </xf>
    <xf numFmtId="4" fontId="4" fillId="0" borderId="0" xfId="6" applyFont="1" applyFill="1" applyBorder="1" applyAlignment="1">
      <alignment vertical="top" wrapText="1"/>
    </xf>
    <xf numFmtId="4" fontId="55" fillId="0" borderId="0" xfId="6" applyFont="1" applyFill="1" applyBorder="1">
      <alignment vertical="top"/>
    </xf>
    <xf numFmtId="4" fontId="55" fillId="0" borderId="0" xfId="6" applyFont="1" applyFill="1" applyBorder="1" applyAlignment="1">
      <alignment vertical="top"/>
    </xf>
    <xf numFmtId="169" fontId="0" fillId="25" borderId="22" xfId="0" applyNumberFormat="1" applyFont="1" applyFill="1" applyBorder="1" applyAlignment="1" applyProtection="1">
      <alignment vertical="center" wrapText="1"/>
      <protection locked="0"/>
    </xf>
    <xf numFmtId="14" fontId="0" fillId="25" borderId="32" xfId="0" applyNumberFormat="1" applyFont="1" applyFill="1" applyBorder="1" applyAlignment="1" applyProtection="1">
      <alignment horizontal="center" vertical="center" wrapText="1"/>
    </xf>
    <xf numFmtId="170" fontId="5" fillId="25" borderId="3" xfId="4" applyNumberFormat="1" applyFont="1" applyFill="1" applyBorder="1" applyAlignment="1">
      <alignment horizontal="right" vertical="center"/>
    </xf>
    <xf numFmtId="169" fontId="0" fillId="25" borderId="24" xfId="0" applyNumberFormat="1" applyFont="1" applyFill="1" applyBorder="1" applyAlignment="1" applyProtection="1">
      <alignment vertical="center" wrapText="1"/>
      <protection locked="0"/>
    </xf>
    <xf numFmtId="0" fontId="0" fillId="25" borderId="3" xfId="0" applyFont="1" applyFill="1" applyBorder="1" applyAlignment="1">
      <alignment horizontal="center" vertical="center"/>
    </xf>
    <xf numFmtId="14" fontId="0" fillId="25" borderId="1" xfId="0" applyNumberFormat="1" applyFont="1" applyFill="1" applyBorder="1" applyAlignment="1" applyProtection="1">
      <alignment horizontal="center" vertical="center" wrapText="1"/>
    </xf>
    <xf numFmtId="169" fontId="0" fillId="13" borderId="24" xfId="0" applyNumberFormat="1" applyFont="1" applyFill="1" applyBorder="1" applyAlignment="1" applyProtection="1">
      <alignment vertical="center" wrapText="1"/>
      <protection locked="0"/>
    </xf>
    <xf numFmtId="0" fontId="0" fillId="13" borderId="3" xfId="0" applyFont="1" applyFill="1" applyBorder="1" applyAlignment="1">
      <alignment horizontal="center" vertical="center"/>
    </xf>
    <xf numFmtId="14" fontId="0" fillId="13" borderId="1" xfId="0" applyNumberFormat="1" applyFont="1" applyFill="1" applyBorder="1" applyAlignment="1" applyProtection="1">
      <alignment horizontal="center" vertical="center" wrapText="1"/>
    </xf>
    <xf numFmtId="170" fontId="5" fillId="13" borderId="3" xfId="4" applyNumberFormat="1" applyFont="1" applyFill="1" applyBorder="1" applyAlignment="1">
      <alignment horizontal="right" vertical="center"/>
    </xf>
    <xf numFmtId="0" fontId="27" fillId="16" borderId="48" xfId="0" applyFont="1" applyFill="1" applyBorder="1" applyAlignment="1" applyProtection="1">
      <alignment horizontal="left" vertical="center" wrapText="1"/>
    </xf>
    <xf numFmtId="4" fontId="45" fillId="0" borderId="84" xfId="6" applyFont="1" applyBorder="1" applyAlignment="1">
      <alignment horizontal="left" vertical="top" wrapText="1"/>
    </xf>
    <xf numFmtId="0" fontId="57" fillId="0" borderId="0" xfId="0" applyFont="1"/>
    <xf numFmtId="0" fontId="58" fillId="0" borderId="0" xfId="0" applyFont="1" applyAlignment="1">
      <alignment vertical="center"/>
    </xf>
    <xf numFmtId="4" fontId="44" fillId="0" borderId="82" xfId="6" applyFont="1" applyFill="1" applyBorder="1" applyAlignment="1">
      <alignment vertical="top" wrapText="1"/>
    </xf>
    <xf numFmtId="4" fontId="44" fillId="0" borderId="81" xfId="6" applyFont="1" applyFill="1" applyBorder="1">
      <alignment vertical="top"/>
    </xf>
    <xf numFmtId="4" fontId="44" fillId="0" borderId="79" xfId="6" applyFont="1" applyFill="1" applyBorder="1" applyAlignment="1">
      <alignment vertical="top" wrapText="1"/>
    </xf>
    <xf numFmtId="4" fontId="44" fillId="0" borderId="78" xfId="6" applyFont="1" applyFill="1" applyBorder="1">
      <alignment vertical="top"/>
    </xf>
    <xf numFmtId="0" fontId="16" fillId="0" borderId="0" xfId="0" applyFont="1" applyFill="1" applyBorder="1" applyAlignment="1" applyProtection="1">
      <alignment vertical="center" wrapText="1"/>
    </xf>
    <xf numFmtId="0" fontId="26" fillId="16" borderId="11" xfId="0" applyFont="1" applyFill="1" applyBorder="1" applyAlignment="1">
      <alignment horizontal="center" vertical="center" wrapText="1"/>
    </xf>
    <xf numFmtId="0" fontId="26" fillId="16" borderId="44" xfId="0" applyFont="1" applyFill="1" applyBorder="1" applyAlignment="1">
      <alignment horizontal="center" vertical="center" wrapText="1"/>
    </xf>
    <xf numFmtId="0" fontId="26" fillId="13" borderId="5" xfId="0" applyFont="1" applyFill="1" applyBorder="1" applyAlignment="1">
      <alignment vertical="center" wrapText="1"/>
    </xf>
    <xf numFmtId="0" fontId="64" fillId="13" borderId="5" xfId="0" applyFont="1" applyFill="1" applyBorder="1" applyAlignment="1">
      <alignment vertical="center" wrapText="1"/>
    </xf>
    <xf numFmtId="0" fontId="65" fillId="0" borderId="14" xfId="0" applyFont="1" applyBorder="1" applyAlignment="1">
      <alignment horizontal="left" vertical="center" wrapText="1" indent="2"/>
    </xf>
    <xf numFmtId="0" fontId="65" fillId="0" borderId="5" xfId="0" applyFont="1" applyBorder="1" applyAlignment="1">
      <alignment horizontal="left" vertical="center" wrapText="1" indent="2"/>
    </xf>
    <xf numFmtId="0" fontId="26" fillId="16" borderId="18" xfId="0" applyFont="1" applyFill="1" applyBorder="1" applyAlignment="1">
      <alignment horizontal="center" vertical="center" wrapText="1"/>
    </xf>
    <xf numFmtId="0" fontId="26" fillId="16" borderId="4" xfId="0" applyFont="1" applyFill="1" applyBorder="1" applyAlignment="1">
      <alignment horizontal="center" vertical="center" wrapText="1"/>
    </xf>
    <xf numFmtId="0" fontId="68" fillId="0" borderId="14" xfId="0" applyFont="1" applyBorder="1" applyAlignment="1">
      <alignment horizontal="left" vertical="center" wrapText="1" indent="8"/>
    </xf>
    <xf numFmtId="0" fontId="26" fillId="13" borderId="11" xfId="0" applyFont="1" applyFill="1" applyBorder="1" applyAlignment="1">
      <alignment vertical="center" wrapText="1"/>
    </xf>
    <xf numFmtId="0" fontId="69" fillId="0" borderId="14" xfId="0" applyFont="1" applyBorder="1" applyAlignment="1">
      <alignment horizontal="left" vertical="center" wrapText="1" indent="2"/>
    </xf>
    <xf numFmtId="0" fontId="70" fillId="0" borderId="0" xfId="0" applyFont="1" applyAlignment="1">
      <alignment vertical="center"/>
    </xf>
    <xf numFmtId="0" fontId="71" fillId="27" borderId="73" xfId="0" applyFont="1" applyFill="1" applyBorder="1" applyAlignment="1" applyProtection="1">
      <alignment vertical="center"/>
    </xf>
    <xf numFmtId="0" fontId="72" fillId="27" borderId="0" xfId="0" applyFont="1" applyFill="1" applyBorder="1" applyAlignment="1" applyProtection="1">
      <alignment vertical="center"/>
    </xf>
    <xf numFmtId="0" fontId="17" fillId="27" borderId="0" xfId="0" applyFont="1" applyFill="1" applyAlignment="1"/>
    <xf numFmtId="0" fontId="22" fillId="6" borderId="22" xfId="0" applyFont="1" applyFill="1" applyBorder="1" applyAlignment="1">
      <alignment vertical="center"/>
    </xf>
    <xf numFmtId="0" fontId="17" fillId="0" borderId="0" xfId="0" applyFont="1" applyBorder="1" applyAlignment="1" applyProtection="1">
      <alignment horizontal="left" vertical="center"/>
      <protection locked="0"/>
    </xf>
    <xf numFmtId="0" fontId="17" fillId="0" borderId="73" xfId="0" applyFont="1" applyBorder="1" applyAlignment="1">
      <alignment horizontal="left" vertical="center"/>
    </xf>
    <xf numFmtId="0" fontId="17" fillId="0" borderId="0" xfId="0" applyFont="1" applyAlignment="1">
      <alignment horizontal="left" vertical="center"/>
    </xf>
    <xf numFmtId="0" fontId="22" fillId="6" borderId="108" xfId="0" applyFont="1" applyFill="1" applyBorder="1" applyAlignment="1">
      <alignment vertical="center"/>
    </xf>
    <xf numFmtId="0" fontId="17" fillId="0" borderId="66" xfId="0" applyFont="1" applyBorder="1" applyAlignment="1" applyProtection="1">
      <alignment horizontal="left" vertical="center"/>
      <protection locked="0"/>
    </xf>
    <xf numFmtId="0" fontId="17" fillId="0" borderId="66" xfId="0" applyFont="1" applyBorder="1" applyAlignment="1">
      <alignment horizontal="left"/>
    </xf>
    <xf numFmtId="0" fontId="22" fillId="14" borderId="15" xfId="0" applyFont="1" applyFill="1" applyBorder="1" applyAlignment="1">
      <alignment vertical="center"/>
    </xf>
    <xf numFmtId="0" fontId="22" fillId="14" borderId="66" xfId="0" applyFont="1" applyFill="1" applyBorder="1" applyAlignment="1">
      <alignment vertical="center"/>
    </xf>
    <xf numFmtId="0" fontId="22" fillId="14" borderId="44" xfId="0" applyFont="1" applyFill="1" applyBorder="1" applyAlignment="1">
      <alignment vertical="center"/>
    </xf>
    <xf numFmtId="0" fontId="17" fillId="0" borderId="0" xfId="0" applyFont="1" applyBorder="1" applyAlignment="1" applyProtection="1">
      <alignment horizontal="left" vertical="center" wrapText="1"/>
      <protection locked="0"/>
    </xf>
    <xf numFmtId="0" fontId="22" fillId="14" borderId="13" xfId="0" applyFont="1" applyFill="1" applyBorder="1" applyAlignment="1">
      <alignment vertical="center"/>
    </xf>
    <xf numFmtId="0" fontId="19" fillId="14" borderId="11" xfId="0" applyFont="1" applyFill="1" applyBorder="1" applyAlignment="1" applyProtection="1">
      <alignment horizontal="center" vertical="center"/>
    </xf>
    <xf numFmtId="0" fontId="19" fillId="14" borderId="55" xfId="5" applyFont="1" applyFill="1" applyBorder="1" applyAlignment="1" applyProtection="1">
      <alignment horizontal="center" vertical="center" wrapText="1"/>
    </xf>
    <xf numFmtId="0" fontId="19" fillId="14" borderId="11" xfId="5" applyFont="1" applyFill="1" applyBorder="1" applyAlignment="1" applyProtection="1">
      <alignment horizontal="center" vertical="center" wrapText="1"/>
    </xf>
    <xf numFmtId="0" fontId="19" fillId="14" borderId="15" xfId="0" applyFont="1" applyFill="1" applyBorder="1" applyAlignment="1" applyProtection="1">
      <alignment horizontal="center" vertical="center" wrapText="1"/>
    </xf>
    <xf numFmtId="0" fontId="19" fillId="14"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14" borderId="11" xfId="0" applyFont="1" applyFill="1" applyBorder="1" applyAlignment="1" applyProtection="1">
      <alignment horizontal="center" vertical="center" wrapText="1"/>
      <protection locked="0"/>
    </xf>
    <xf numFmtId="0" fontId="19" fillId="14" borderId="109" xfId="0" applyFont="1" applyFill="1" applyBorder="1" applyAlignment="1" applyProtection="1">
      <alignment horizontal="center" vertical="center" wrapText="1"/>
      <protection locked="0"/>
    </xf>
    <xf numFmtId="0" fontId="17" fillId="0" borderId="0" xfId="0" applyFont="1" applyFill="1" applyProtection="1">
      <protection locked="0"/>
    </xf>
    <xf numFmtId="0" fontId="21" fillId="0" borderId="0" xfId="0" applyFont="1" applyFill="1" applyProtection="1">
      <protection locked="0"/>
    </xf>
    <xf numFmtId="0" fontId="22" fillId="6" borderId="15" xfId="0" applyFont="1" applyFill="1" applyBorder="1" applyAlignment="1" applyProtection="1">
      <alignment vertical="center"/>
    </xf>
    <xf numFmtId="169" fontId="17" fillId="0" borderId="15" xfId="0" applyNumberFormat="1" applyFont="1" applyFill="1" applyBorder="1" applyAlignment="1" applyProtection="1">
      <alignment horizontal="center" vertical="center"/>
    </xf>
    <xf numFmtId="168" fontId="22" fillId="6" borderId="15" xfId="2" applyNumberFormat="1" applyFont="1" applyFill="1" applyBorder="1" applyAlignment="1" applyProtection="1">
      <alignment horizontal="right" vertical="center"/>
    </xf>
    <xf numFmtId="168" fontId="22" fillId="6" borderId="54" xfId="2" applyNumberFormat="1" applyFont="1" applyFill="1" applyBorder="1" applyAlignment="1" applyProtection="1">
      <alignment horizontal="right" vertical="center"/>
    </xf>
    <xf numFmtId="168" fontId="22" fillId="0" borderId="47" xfId="2" applyNumberFormat="1" applyFont="1" applyFill="1" applyBorder="1" applyAlignment="1" applyProtection="1">
      <alignment horizontal="right" vertical="center"/>
    </xf>
    <xf numFmtId="168" fontId="22" fillId="6" borderId="54" xfId="2" applyNumberFormat="1" applyFont="1" applyFill="1" applyBorder="1" applyAlignment="1" applyProtection="1">
      <alignment horizontal="right" vertical="center"/>
      <protection locked="0"/>
    </xf>
    <xf numFmtId="168" fontId="22" fillId="6" borderId="44" xfId="2" applyNumberFormat="1" applyFont="1" applyFill="1" applyBorder="1" applyAlignment="1" applyProtection="1">
      <alignment horizontal="right" vertical="center"/>
      <protection locked="0"/>
    </xf>
    <xf numFmtId="0" fontId="22" fillId="2" borderId="36" xfId="0" applyFont="1" applyFill="1" applyBorder="1" applyAlignment="1" applyProtection="1">
      <alignment vertical="center"/>
    </xf>
    <xf numFmtId="0" fontId="17" fillId="2" borderId="2" xfId="0" applyFont="1" applyFill="1" applyBorder="1" applyAlignment="1" applyProtection="1">
      <alignment vertical="center"/>
    </xf>
    <xf numFmtId="0" fontId="17" fillId="0" borderId="47" xfId="0" applyFont="1" applyFill="1" applyBorder="1" applyAlignment="1" applyProtection="1">
      <alignment vertical="center"/>
    </xf>
    <xf numFmtId="0" fontId="17" fillId="2" borderId="54" xfId="0" applyFont="1" applyFill="1" applyBorder="1" applyAlignment="1" applyProtection="1">
      <alignment vertical="center"/>
      <protection locked="0"/>
    </xf>
    <xf numFmtId="0" fontId="17" fillId="2" borderId="44" xfId="0" applyFont="1" applyFill="1" applyBorder="1" applyAlignment="1" applyProtection="1">
      <alignment vertical="center"/>
      <protection locked="0"/>
    </xf>
    <xf numFmtId="0" fontId="17" fillId="0" borderId="36" xfId="0" applyFont="1" applyBorder="1" applyAlignment="1" applyProtection="1">
      <alignment vertical="center"/>
    </xf>
    <xf numFmtId="0" fontId="17" fillId="0" borderId="2" xfId="0" applyFont="1" applyBorder="1" applyAlignment="1" applyProtection="1">
      <alignment vertical="center"/>
    </xf>
    <xf numFmtId="0" fontId="17" fillId="0" borderId="62" xfId="0" applyFont="1" applyBorder="1" applyAlignment="1" applyProtection="1">
      <alignment vertical="center"/>
    </xf>
    <xf numFmtId="0" fontId="17" fillId="0" borderId="3" xfId="0" applyFont="1" applyBorder="1" applyAlignment="1" applyProtection="1">
      <alignment horizontal="left" vertical="center" wrapText="1"/>
    </xf>
    <xf numFmtId="170" fontId="17" fillId="0" borderId="3" xfId="2" applyNumberFormat="1" applyFont="1" applyBorder="1" applyAlignment="1" applyProtection="1">
      <alignment horizontal="right" vertical="center" indent="2"/>
    </xf>
    <xf numFmtId="170" fontId="22" fillId="17" borderId="1" xfId="2" applyNumberFormat="1" applyFont="1" applyFill="1" applyBorder="1" applyAlignment="1" applyProtection="1">
      <alignment horizontal="right" vertical="center" indent="2"/>
    </xf>
    <xf numFmtId="170" fontId="22" fillId="0" borderId="47" xfId="2" applyNumberFormat="1" applyFont="1" applyFill="1" applyBorder="1" applyAlignment="1" applyProtection="1">
      <alignment horizontal="right" vertical="center" indent="2"/>
    </xf>
    <xf numFmtId="44" fontId="22" fillId="17" borderId="20" xfId="4" applyFont="1" applyFill="1" applyBorder="1" applyAlignment="1" applyProtection="1">
      <alignment horizontal="right" vertical="center" indent="2"/>
    </xf>
    <xf numFmtId="3" fontId="22" fillId="17" borderId="20" xfId="2" applyNumberFormat="1" applyFont="1" applyFill="1" applyBorder="1" applyAlignment="1" applyProtection="1">
      <alignment horizontal="right" vertical="center" indent="2"/>
      <protection locked="0"/>
    </xf>
    <xf numFmtId="0" fontId="22" fillId="16" borderId="37" xfId="0" applyFont="1" applyFill="1" applyBorder="1" applyAlignment="1" applyProtection="1">
      <alignment vertical="center"/>
    </xf>
    <xf numFmtId="0" fontId="22" fillId="16" borderId="61" xfId="0" applyFont="1" applyFill="1" applyBorder="1" applyAlignment="1" applyProtection="1">
      <alignment vertical="center"/>
    </xf>
    <xf numFmtId="167" fontId="22" fillId="16" borderId="3" xfId="2" applyNumberFormat="1" applyFont="1" applyFill="1" applyBorder="1" applyAlignment="1" applyProtection="1">
      <alignment horizontal="right" vertical="center" indent="2"/>
    </xf>
    <xf numFmtId="167" fontId="22" fillId="16" borderId="1" xfId="2" applyNumberFormat="1" applyFont="1" applyFill="1" applyBorder="1" applyAlignment="1" applyProtection="1">
      <alignment horizontal="right" vertical="center" indent="2"/>
    </xf>
    <xf numFmtId="167" fontId="22" fillId="0" borderId="47" xfId="2" applyNumberFormat="1" applyFont="1" applyFill="1" applyBorder="1" applyAlignment="1" applyProtection="1">
      <alignment horizontal="right" vertical="center" indent="2"/>
      <protection locked="0"/>
    </xf>
    <xf numFmtId="167" fontId="22" fillId="16" borderId="59" xfId="2" applyNumberFormat="1" applyFont="1" applyFill="1" applyBorder="1" applyAlignment="1" applyProtection="1">
      <alignment horizontal="right" vertical="center" indent="2"/>
    </xf>
    <xf numFmtId="167" fontId="22" fillId="16" borderId="60" xfId="2" applyNumberFormat="1" applyFont="1" applyFill="1" applyBorder="1" applyAlignment="1" applyProtection="1">
      <alignment horizontal="right" vertical="center" indent="2"/>
    </xf>
    <xf numFmtId="167" fontId="22" fillId="16" borderId="110" xfId="2" applyNumberFormat="1" applyFont="1" applyFill="1" applyBorder="1" applyAlignment="1" applyProtection="1">
      <alignment horizontal="right" vertical="center" indent="2"/>
      <protection locked="0"/>
    </xf>
    <xf numFmtId="168" fontId="22" fillId="6" borderId="54" xfId="2" applyNumberFormat="1" applyFont="1" applyFill="1" applyBorder="1" applyAlignment="1" applyProtection="1">
      <alignment vertical="center"/>
      <protection locked="0"/>
    </xf>
    <xf numFmtId="168" fontId="22" fillId="6" borderId="44" xfId="2" applyNumberFormat="1" applyFont="1" applyFill="1" applyBorder="1" applyAlignment="1" applyProtection="1">
      <alignment vertical="center"/>
      <protection locked="0"/>
    </xf>
    <xf numFmtId="0" fontId="22" fillId="2" borderId="43" xfId="0" applyFont="1" applyFill="1" applyBorder="1" applyAlignment="1" applyProtection="1">
      <alignment vertical="center"/>
    </xf>
    <xf numFmtId="0" fontId="22" fillId="2" borderId="69" xfId="0" applyFont="1" applyFill="1" applyBorder="1" applyAlignment="1" applyProtection="1">
      <alignment vertical="center"/>
    </xf>
    <xf numFmtId="0" fontId="22" fillId="0" borderId="47" xfId="0" applyFont="1" applyFill="1" applyBorder="1" applyAlignment="1" applyProtection="1">
      <alignment horizontal="left" vertical="center" wrapText="1"/>
      <protection locked="0"/>
    </xf>
    <xf numFmtId="0" fontId="17" fillId="0" borderId="56" xfId="0" applyFont="1" applyBorder="1" applyAlignment="1" applyProtection="1">
      <alignment vertical="center"/>
    </xf>
    <xf numFmtId="170" fontId="17" fillId="0" borderId="6" xfId="2" applyNumberFormat="1" applyFont="1" applyBorder="1" applyAlignment="1" applyProtection="1">
      <alignment horizontal="right" vertical="center"/>
    </xf>
    <xf numFmtId="170" fontId="22" fillId="17" borderId="34" xfId="2" applyNumberFormat="1" applyFont="1" applyFill="1" applyBorder="1" applyAlignment="1" applyProtection="1">
      <alignment horizontal="right" vertical="center" indent="2"/>
    </xf>
    <xf numFmtId="167" fontId="22" fillId="16" borderId="62" xfId="2" applyNumberFormat="1" applyFont="1" applyFill="1" applyBorder="1" applyAlignment="1" applyProtection="1">
      <alignment horizontal="right" vertical="center" indent="2"/>
    </xf>
    <xf numFmtId="0" fontId="17" fillId="0" borderId="6" xfId="0" applyFont="1" applyBorder="1" applyAlignment="1" applyProtection="1">
      <alignment horizontal="left" vertical="center" wrapText="1"/>
    </xf>
    <xf numFmtId="170" fontId="17" fillId="0" borderId="6" xfId="2" applyNumberFormat="1" applyFont="1" applyBorder="1" applyAlignment="1" applyProtection="1">
      <alignment horizontal="right" vertical="center" indent="2"/>
    </xf>
    <xf numFmtId="3" fontId="22" fillId="17" borderId="31" xfId="2" applyNumberFormat="1" applyFont="1" applyFill="1" applyBorder="1" applyAlignment="1" applyProtection="1">
      <alignment horizontal="right" vertical="center" indent="2"/>
      <protection locked="0"/>
    </xf>
    <xf numFmtId="167" fontId="22" fillId="16" borderId="72" xfId="2" applyNumberFormat="1" applyFont="1" applyFill="1" applyBorder="1" applyAlignment="1" applyProtection="1">
      <alignment horizontal="right" vertical="center" indent="2"/>
    </xf>
    <xf numFmtId="167" fontId="22" fillId="16" borderId="31" xfId="2" applyNumberFormat="1" applyFont="1" applyFill="1" applyBorder="1" applyAlignment="1" applyProtection="1">
      <alignment horizontal="right" vertical="center" indent="2"/>
      <protection locked="0"/>
    </xf>
    <xf numFmtId="44" fontId="17" fillId="0" borderId="3" xfId="2" applyNumberFormat="1" applyFont="1" applyBorder="1" applyAlignment="1" applyProtection="1">
      <alignment horizontal="right" vertical="center" indent="2"/>
    </xf>
    <xf numFmtId="44" fontId="22" fillId="17" borderId="1" xfId="2" applyNumberFormat="1" applyFont="1" applyFill="1" applyBorder="1" applyAlignment="1" applyProtection="1">
      <alignment horizontal="right" vertical="center" indent="2"/>
    </xf>
    <xf numFmtId="44" fontId="22" fillId="0" borderId="47" xfId="2" applyNumberFormat="1" applyFont="1" applyFill="1" applyBorder="1" applyAlignment="1" applyProtection="1">
      <alignment horizontal="right" vertical="center" indent="2"/>
    </xf>
    <xf numFmtId="44" fontId="22" fillId="17" borderId="20" xfId="2" applyNumberFormat="1" applyFont="1" applyFill="1" applyBorder="1" applyAlignment="1" applyProtection="1">
      <alignment horizontal="right" vertical="center" indent="2"/>
    </xf>
    <xf numFmtId="167" fontId="22" fillId="16" borderId="29" xfId="2" applyNumberFormat="1" applyFont="1" applyFill="1" applyBorder="1" applyAlignment="1" applyProtection="1">
      <alignment horizontal="right" vertical="center" indent="2"/>
    </xf>
    <xf numFmtId="167" fontId="22" fillId="16" borderId="26" xfId="2" applyNumberFormat="1" applyFont="1" applyFill="1" applyBorder="1" applyAlignment="1" applyProtection="1">
      <alignment horizontal="right" vertical="center" indent="2"/>
    </xf>
    <xf numFmtId="167" fontId="22" fillId="16" borderId="41" xfId="2" applyNumberFormat="1" applyFont="1" applyFill="1" applyBorder="1" applyAlignment="1" applyProtection="1">
      <alignment horizontal="right" vertical="center" indent="2"/>
      <protection locked="0"/>
    </xf>
    <xf numFmtId="0" fontId="22" fillId="14" borderId="54" xfId="0" applyFont="1" applyFill="1" applyBorder="1" applyAlignment="1" applyProtection="1"/>
    <xf numFmtId="167" fontId="22" fillId="14" borderId="111" xfId="2" applyNumberFormat="1" applyFont="1" applyFill="1" applyBorder="1" applyAlignment="1" applyProtection="1">
      <alignment horizontal="right" vertical="center" indent="2"/>
    </xf>
    <xf numFmtId="167" fontId="22" fillId="14" borderId="54" xfId="2" applyNumberFormat="1" applyFont="1" applyFill="1" applyBorder="1" applyAlignment="1" applyProtection="1">
      <alignment horizontal="right" vertical="center" indent="2"/>
    </xf>
    <xf numFmtId="167" fontId="22" fillId="0" borderId="47" xfId="2" applyNumberFormat="1" applyFont="1" applyFill="1" applyBorder="1" applyAlignment="1" applyProtection="1">
      <alignment horizontal="right" vertical="center" indent="2"/>
    </xf>
    <xf numFmtId="167" fontId="22" fillId="14" borderId="30" xfId="2" applyNumberFormat="1" applyFont="1" applyFill="1" applyBorder="1" applyAlignment="1" applyProtection="1">
      <alignment horizontal="right" vertical="center" indent="2"/>
    </xf>
    <xf numFmtId="167" fontId="22" fillId="14" borderId="44" xfId="2" applyNumberFormat="1" applyFont="1" applyFill="1" applyBorder="1" applyAlignment="1" applyProtection="1">
      <alignment horizontal="right" vertical="center" indent="2"/>
    </xf>
    <xf numFmtId="167" fontId="22" fillId="0" borderId="0" xfId="2" applyNumberFormat="1" applyFont="1" applyFill="1" applyBorder="1" applyAlignment="1" applyProtection="1">
      <alignment horizontal="right" vertical="center" indent="2"/>
    </xf>
    <xf numFmtId="0" fontId="72" fillId="28" borderId="2" xfId="0" applyFont="1" applyFill="1" applyBorder="1" applyAlignment="1"/>
    <xf numFmtId="0" fontId="19" fillId="2" borderId="3" xfId="0" applyFont="1" applyFill="1" applyBorder="1" applyAlignment="1">
      <alignment horizontal="center" wrapText="1"/>
    </xf>
    <xf numFmtId="0" fontId="19" fillId="2" borderId="3" xfId="0" applyFont="1" applyFill="1" applyBorder="1" applyAlignment="1">
      <alignment horizontal="center"/>
    </xf>
    <xf numFmtId="0" fontId="19" fillId="0" borderId="0" xfId="0" applyFont="1" applyFill="1" applyBorder="1" applyAlignment="1">
      <alignment horizontal="center"/>
    </xf>
    <xf numFmtId="0" fontId="22" fillId="14" borderId="15" xfId="0" applyFont="1" applyFill="1" applyBorder="1" applyAlignment="1" applyProtection="1">
      <alignment vertical="center"/>
      <protection locked="0"/>
    </xf>
    <xf numFmtId="167" fontId="22" fillId="14" borderId="16" xfId="2" applyNumberFormat="1" applyFont="1" applyFill="1" applyBorder="1" applyAlignment="1" applyProtection="1">
      <alignment horizontal="right" vertical="center" indent="2"/>
    </xf>
    <xf numFmtId="0" fontId="19" fillId="2" borderId="1" xfId="0" applyFont="1" applyFill="1" applyBorder="1" applyAlignment="1"/>
    <xf numFmtId="0" fontId="19" fillId="2" borderId="2" xfId="0" applyFont="1" applyFill="1" applyBorder="1" applyAlignment="1"/>
    <xf numFmtId="0" fontId="19" fillId="2" borderId="62" xfId="0" applyFont="1" applyFill="1" applyBorder="1" applyAlignment="1"/>
    <xf numFmtId="0" fontId="19" fillId="20" borderId="62" xfId="0" applyFont="1" applyFill="1" applyBorder="1" applyAlignment="1">
      <alignment horizontal="center"/>
    </xf>
    <xf numFmtId="44" fontId="19" fillId="20" borderId="62" xfId="4" applyFont="1" applyFill="1" applyBorder="1" applyAlignment="1"/>
    <xf numFmtId="44" fontId="19" fillId="0" borderId="0" xfId="4" applyFont="1" applyFill="1" applyBorder="1" applyAlignment="1"/>
    <xf numFmtId="0" fontId="19" fillId="2" borderId="1" xfId="0" applyFont="1" applyFill="1" applyBorder="1" applyAlignment="1">
      <alignment horizontal="left" vertical="center"/>
    </xf>
    <xf numFmtId="0" fontId="19" fillId="2" borderId="2" xfId="0" applyFont="1" applyFill="1" applyBorder="1" applyAlignment="1">
      <alignment horizontal="left"/>
    </xf>
    <xf numFmtId="164" fontId="19" fillId="2" borderId="62" xfId="0" applyNumberFormat="1" applyFont="1" applyFill="1" applyBorder="1" applyAlignment="1">
      <alignment horizontal="center"/>
    </xf>
    <xf numFmtId="164" fontId="19" fillId="20" borderId="62" xfId="0" applyNumberFormat="1" applyFont="1" applyFill="1" applyBorder="1" applyAlignment="1"/>
    <xf numFmtId="164" fontId="19" fillId="0" borderId="0" xfId="0" applyNumberFormat="1" applyFont="1" applyFill="1" applyBorder="1" applyAlignment="1"/>
    <xf numFmtId="164" fontId="19" fillId="2" borderId="62" xfId="0" applyNumberFormat="1" applyFont="1" applyFill="1" applyBorder="1" applyAlignment="1" applyProtection="1">
      <alignment horizontal="right"/>
    </xf>
    <xf numFmtId="164" fontId="19" fillId="2" borderId="3" xfId="0" applyNumberFormat="1" applyFont="1" applyFill="1" applyBorder="1" applyAlignment="1" applyProtection="1"/>
    <xf numFmtId="164" fontId="19" fillId="0" borderId="0" xfId="0" applyNumberFormat="1" applyFont="1" applyFill="1" applyBorder="1" applyAlignment="1" applyProtection="1"/>
    <xf numFmtId="0" fontId="16" fillId="0" borderId="0" xfId="0" applyFont="1" applyBorder="1" applyAlignment="1">
      <alignment vertical="center" wrapText="1"/>
    </xf>
    <xf numFmtId="0" fontId="17" fillId="0" borderId="0" xfId="0" applyFont="1" applyBorder="1" applyAlignment="1" applyProtection="1">
      <alignment horizontal="left" wrapText="1"/>
      <protection locked="0"/>
    </xf>
    <xf numFmtId="3" fontId="17" fillId="11" borderId="56" xfId="2" applyNumberFormat="1" applyFont="1" applyFill="1" applyBorder="1" applyAlignment="1" applyProtection="1">
      <alignment horizontal="right" vertical="center" indent="2"/>
      <protection locked="0"/>
    </xf>
    <xf numFmtId="3" fontId="17" fillId="11" borderId="6" xfId="2" applyNumberFormat="1" applyFont="1" applyFill="1" applyBorder="1" applyAlignment="1" applyProtection="1">
      <alignment horizontal="right" vertical="center" indent="2"/>
      <protection locked="0"/>
    </xf>
    <xf numFmtId="3" fontId="22" fillId="11" borderId="20" xfId="2" applyNumberFormat="1" applyFont="1" applyFill="1" applyBorder="1" applyAlignment="1" applyProtection="1">
      <alignment horizontal="right" vertical="center" indent="2"/>
      <protection locked="0"/>
    </xf>
    <xf numFmtId="0" fontId="17" fillId="11" borderId="44" xfId="0" applyFont="1" applyFill="1" applyBorder="1" applyAlignment="1" applyProtection="1">
      <alignment horizontal="left" vertical="center"/>
      <protection locked="0"/>
    </xf>
    <xf numFmtId="0" fontId="17" fillId="8" borderId="1" xfId="0" applyFont="1" applyFill="1" applyBorder="1" applyAlignment="1" applyProtection="1">
      <alignment horizontal="left" vertical="center"/>
      <protection locked="0"/>
    </xf>
    <xf numFmtId="0" fontId="17" fillId="8" borderId="2" xfId="0" applyFont="1" applyFill="1" applyBorder="1" applyAlignment="1" applyProtection="1">
      <alignment horizontal="left" vertical="center"/>
      <protection locked="0"/>
    </xf>
    <xf numFmtId="0" fontId="17" fillId="8" borderId="45" xfId="0" applyFont="1" applyFill="1" applyBorder="1" applyAlignment="1" applyProtection="1">
      <alignment horizontal="left" vertical="center"/>
      <protection locked="0"/>
    </xf>
    <xf numFmtId="3" fontId="17" fillId="11" borderId="62" xfId="2" applyNumberFormat="1" applyFont="1" applyFill="1" applyBorder="1" applyAlignment="1" applyProtection="1">
      <alignment horizontal="right" vertical="center" indent="2"/>
      <protection locked="0"/>
    </xf>
    <xf numFmtId="3" fontId="17" fillId="11" borderId="3" xfId="2" applyNumberFormat="1" applyFont="1" applyFill="1" applyBorder="1" applyAlignment="1" applyProtection="1">
      <alignment horizontal="right" vertical="center" indent="2"/>
      <protection locked="0"/>
    </xf>
    <xf numFmtId="3" fontId="22" fillId="11" borderId="21" xfId="2" applyNumberFormat="1" applyFont="1" applyFill="1" applyBorder="1" applyAlignment="1" applyProtection="1">
      <alignment horizontal="right" vertical="center" indent="2"/>
      <protection locked="0"/>
    </xf>
    <xf numFmtId="44" fontId="17" fillId="11" borderId="62" xfId="2" applyNumberFormat="1" applyFont="1" applyFill="1" applyBorder="1" applyAlignment="1" applyProtection="1">
      <alignment horizontal="right" vertical="center" indent="2"/>
      <protection locked="0"/>
    </xf>
    <xf numFmtId="44" fontId="17" fillId="11" borderId="3" xfId="2" applyNumberFormat="1" applyFont="1" applyFill="1" applyBorder="1" applyAlignment="1" applyProtection="1">
      <alignment horizontal="right" vertical="center" indent="2"/>
      <protection locked="0"/>
    </xf>
    <xf numFmtId="0" fontId="17" fillId="0" borderId="49" xfId="0" applyFont="1" applyBorder="1" applyAlignment="1" applyProtection="1">
      <alignment horizontal="left" vertical="center"/>
    </xf>
    <xf numFmtId="0" fontId="17" fillId="0" borderId="33" xfId="0" applyFont="1" applyBorder="1" applyAlignment="1" applyProtection="1">
      <alignment horizontal="left" vertical="center"/>
    </xf>
    <xf numFmtId="0" fontId="8" fillId="3" borderId="13" xfId="0" applyFont="1" applyFill="1" applyBorder="1" applyAlignment="1">
      <alignment horizontal="center" vertical="center"/>
    </xf>
    <xf numFmtId="9" fontId="6" fillId="0" borderId="6" xfId="3" applyNumberFormat="1" applyFont="1" applyBorder="1" applyAlignment="1">
      <alignment horizontal="center" vertical="center"/>
    </xf>
    <xf numFmtId="0" fontId="0" fillId="29" borderId="34" xfId="0" applyFill="1" applyBorder="1" applyProtection="1">
      <protection locked="0"/>
    </xf>
    <xf numFmtId="0" fontId="0" fillId="29" borderId="56" xfId="0" applyFill="1" applyBorder="1" applyProtection="1">
      <protection locked="0"/>
    </xf>
    <xf numFmtId="0" fontId="25" fillId="14" borderId="15" xfId="0" applyFont="1" applyFill="1" applyBorder="1" applyAlignment="1" applyProtection="1">
      <alignment horizontal="left" vertical="center"/>
      <protection locked="0"/>
    </xf>
    <xf numFmtId="14" fontId="17" fillId="26" borderId="48" xfId="0" applyNumberFormat="1" applyFont="1" applyFill="1" applyBorder="1" applyAlignment="1" applyProtection="1">
      <alignment horizontal="center" vertical="center"/>
      <protection locked="0"/>
    </xf>
    <xf numFmtId="14" fontId="17" fillId="13" borderId="3" xfId="0" applyNumberFormat="1" applyFont="1" applyFill="1" applyBorder="1" applyAlignment="1" applyProtection="1">
      <alignment horizontal="center" vertical="center"/>
      <protection locked="0"/>
    </xf>
    <xf numFmtId="14" fontId="17" fillId="26" borderId="3" xfId="0" applyNumberFormat="1" applyFont="1" applyFill="1" applyBorder="1" applyAlignment="1" applyProtection="1">
      <alignment horizontal="center" vertical="center"/>
      <protection locked="0"/>
    </xf>
    <xf numFmtId="0" fontId="23" fillId="13" borderId="24" xfId="0" applyFont="1" applyFill="1" applyBorder="1" applyAlignment="1" applyProtection="1">
      <alignment wrapText="1"/>
      <protection locked="0"/>
    </xf>
    <xf numFmtId="0" fontId="22" fillId="16" borderId="61" xfId="0" applyFont="1" applyFill="1" applyBorder="1" applyAlignment="1" applyProtection="1">
      <alignment horizontal="center" vertical="center" wrapText="1"/>
    </xf>
    <xf numFmtId="14" fontId="22" fillId="16" borderId="61" xfId="0" applyNumberFormat="1" applyFont="1" applyFill="1" applyBorder="1" applyAlignment="1" applyProtection="1">
      <alignment horizontal="center" vertical="center" wrapText="1"/>
    </xf>
    <xf numFmtId="14" fontId="17" fillId="26" borderId="65" xfId="0" applyNumberFormat="1" applyFont="1" applyFill="1" applyBorder="1" applyAlignment="1" applyProtection="1">
      <alignment horizontal="center" vertical="center"/>
      <protection locked="0"/>
    </xf>
    <xf numFmtId="0" fontId="23" fillId="26" borderId="67" xfId="0" applyFont="1" applyFill="1" applyBorder="1" applyAlignment="1" applyProtection="1">
      <alignment horizontal="left" vertical="top" wrapText="1"/>
      <protection locked="0"/>
    </xf>
    <xf numFmtId="0" fontId="23" fillId="13" borderId="24" xfId="0" applyFont="1" applyFill="1" applyBorder="1" applyAlignment="1" applyProtection="1">
      <alignment horizontal="left" vertical="top" wrapText="1"/>
      <protection locked="0"/>
    </xf>
    <xf numFmtId="0" fontId="23" fillId="26" borderId="24" xfId="0" applyFont="1" applyFill="1" applyBorder="1" applyAlignment="1" applyProtection="1">
      <alignment wrapText="1"/>
      <protection locked="0"/>
    </xf>
    <xf numFmtId="14" fontId="0" fillId="25" borderId="27" xfId="0" applyNumberFormat="1" applyFont="1" applyFill="1" applyBorder="1" applyAlignment="1">
      <alignment horizontal="center" vertical="center"/>
    </xf>
    <xf numFmtId="14" fontId="0" fillId="13" borderId="3" xfId="0" applyNumberFormat="1" applyFont="1" applyFill="1" applyBorder="1" applyAlignment="1">
      <alignment horizontal="center" vertical="center"/>
    </xf>
    <xf numFmtId="14" fontId="0" fillId="25" borderId="3" xfId="0" applyNumberFormat="1" applyFont="1" applyFill="1" applyBorder="1" applyAlignment="1">
      <alignment horizontal="center" vertical="center"/>
    </xf>
    <xf numFmtId="173" fontId="0" fillId="13" borderId="3" xfId="6" quotePrefix="1" applyNumberFormat="1" applyFont="1" applyFill="1" applyBorder="1" applyAlignment="1" applyProtection="1">
      <alignment horizontal="center" vertical="center"/>
      <protection locked="0"/>
    </xf>
    <xf numFmtId="0" fontId="23" fillId="13" borderId="108" xfId="0" applyFont="1" applyFill="1" applyBorder="1" applyAlignment="1" applyProtection="1">
      <alignment horizontal="left" vertical="top" wrapText="1"/>
      <protection locked="0"/>
    </xf>
    <xf numFmtId="14" fontId="17" fillId="13" borderId="48" xfId="0" applyNumberFormat="1" applyFont="1" applyFill="1" applyBorder="1" applyAlignment="1" applyProtection="1">
      <alignment horizontal="center" vertical="center"/>
      <protection locked="0"/>
    </xf>
    <xf numFmtId="0" fontId="17" fillId="13" borderId="60" xfId="0" applyFont="1" applyFill="1" applyBorder="1" applyAlignment="1" applyProtection="1">
      <alignment horizontal="center" vertical="center"/>
      <protection locked="0"/>
    </xf>
    <xf numFmtId="167" fontId="17" fillId="13" borderId="6" xfId="0" applyNumberFormat="1" applyFont="1" applyFill="1" applyBorder="1" applyAlignment="1" applyProtection="1">
      <alignment horizontal="right" vertical="center"/>
      <protection locked="0"/>
    </xf>
    <xf numFmtId="0" fontId="17" fillId="25" borderId="15" xfId="0" applyFont="1" applyFill="1" applyBorder="1" applyAlignment="1" applyProtection="1">
      <alignment horizontal="left" vertical="center"/>
      <protection locked="0"/>
    </xf>
    <xf numFmtId="4" fontId="16" fillId="0" borderId="0" xfId="6" applyFont="1" applyAlignment="1">
      <alignment vertical="center"/>
    </xf>
    <xf numFmtId="4" fontId="22" fillId="20" borderId="73" xfId="6" applyFont="1" applyFill="1" applyBorder="1" applyAlignment="1" applyProtection="1">
      <alignment horizontal="justify" vertical="top" wrapText="1"/>
    </xf>
    <xf numFmtId="4" fontId="5" fillId="0" borderId="0" xfId="6" applyBorder="1" applyAlignment="1" applyProtection="1"/>
    <xf numFmtId="4" fontId="5" fillId="0" borderId="18" xfId="6" applyBorder="1" applyAlignment="1" applyProtection="1"/>
    <xf numFmtId="4" fontId="22" fillId="20" borderId="13" xfId="6" applyFont="1" applyFill="1" applyBorder="1" applyAlignment="1" applyProtection="1">
      <alignment horizontal="justify" vertical="top" wrapText="1"/>
    </xf>
    <xf numFmtId="4" fontId="5" fillId="0" borderId="66" xfId="6" applyBorder="1" applyAlignment="1" applyProtection="1"/>
    <xf numFmtId="4" fontId="5" fillId="0" borderId="51" xfId="6" applyBorder="1" applyAlignment="1" applyProtection="1"/>
    <xf numFmtId="4" fontId="19" fillId="20" borderId="73" xfId="6" applyFont="1" applyFill="1" applyBorder="1" applyAlignment="1" applyProtection="1">
      <alignment horizontal="justify" vertical="top" wrapText="1"/>
    </xf>
    <xf numFmtId="4" fontId="32" fillId="14" borderId="15" xfId="6" applyFont="1" applyFill="1" applyBorder="1" applyAlignment="1" applyProtection="1">
      <alignment horizontal="center" vertical="center"/>
    </xf>
    <xf numFmtId="4" fontId="5" fillId="0" borderId="54" xfId="6" applyBorder="1" applyAlignment="1" applyProtection="1"/>
    <xf numFmtId="4" fontId="5" fillId="0" borderId="44" xfId="6" applyBorder="1" applyAlignment="1" applyProtection="1"/>
    <xf numFmtId="4" fontId="25" fillId="17" borderId="12" xfId="6" applyFont="1" applyFill="1" applyBorder="1" applyAlignment="1" applyProtection="1">
      <alignment horizontal="center" vertical="center" wrapText="1"/>
    </xf>
    <xf numFmtId="4" fontId="5" fillId="17" borderId="55" xfId="6" applyFill="1" applyBorder="1" applyAlignment="1" applyProtection="1"/>
    <xf numFmtId="4" fontId="5" fillId="17" borderId="19" xfId="6" applyFill="1" applyBorder="1" applyAlignment="1" applyProtection="1"/>
    <xf numFmtId="4" fontId="51" fillId="17" borderId="3" xfId="6" applyFont="1" applyFill="1" applyBorder="1" applyAlignment="1" applyProtection="1">
      <alignment horizontal="left" vertical="center" wrapText="1"/>
    </xf>
    <xf numFmtId="4" fontId="29" fillId="0" borderId="3" xfId="6" applyFont="1" applyBorder="1" applyAlignment="1">
      <alignment horizontal="left" wrapText="1"/>
    </xf>
    <xf numFmtId="4" fontId="17" fillId="20" borderId="73" xfId="6" applyFont="1" applyFill="1" applyBorder="1" applyAlignment="1" applyProtection="1">
      <alignment horizontal="justify" vertical="top" wrapText="1"/>
    </xf>
    <xf numFmtId="4" fontId="5" fillId="0" borderId="0" xfId="6" applyBorder="1" applyAlignment="1" applyProtection="1">
      <alignment vertical="top"/>
    </xf>
    <xf numFmtId="4" fontId="5" fillId="0" borderId="18" xfId="6" applyBorder="1" applyAlignment="1" applyProtection="1">
      <alignment vertical="top"/>
    </xf>
    <xf numFmtId="4" fontId="4" fillId="0" borderId="75" xfId="6" applyFont="1" applyBorder="1" applyAlignment="1">
      <alignment vertical="top" wrapText="1"/>
    </xf>
    <xf numFmtId="4" fontId="4" fillId="0" borderId="77" xfId="6" applyFont="1" applyBorder="1" applyAlignment="1">
      <alignment vertical="top" wrapText="1"/>
    </xf>
    <xf numFmtId="4" fontId="4" fillId="0" borderId="94" xfId="6" applyFont="1" applyBorder="1" applyAlignment="1">
      <alignment vertical="top" wrapText="1"/>
    </xf>
    <xf numFmtId="4" fontId="4" fillId="0" borderId="75" xfId="6" applyFont="1" applyFill="1" applyBorder="1" applyAlignment="1">
      <alignment vertical="top" wrapText="1"/>
    </xf>
    <xf numFmtId="4" fontId="4" fillId="0" borderId="77" xfId="6" applyFont="1" applyFill="1" applyBorder="1" applyAlignment="1">
      <alignment vertical="top" wrapText="1"/>
    </xf>
    <xf numFmtId="4" fontId="4" fillId="0" borderId="94" xfId="6" applyFont="1" applyFill="1" applyBorder="1" applyAlignment="1">
      <alignment vertical="top" wrapText="1"/>
    </xf>
    <xf numFmtId="4" fontId="5" fillId="0" borderId="100" xfId="6" applyBorder="1" applyAlignment="1">
      <alignment vertical="top" wrapText="1"/>
    </xf>
    <xf numFmtId="4" fontId="5" fillId="0" borderId="0" xfId="6" applyBorder="1" applyAlignment="1">
      <alignment vertical="top" wrapText="1"/>
    </xf>
    <xf numFmtId="4" fontId="5" fillId="0" borderId="76" xfId="6" applyBorder="1" applyAlignment="1">
      <alignment vertical="top" wrapText="1"/>
    </xf>
    <xf numFmtId="4" fontId="5" fillId="0" borderId="99" xfId="6" applyBorder="1" applyAlignment="1">
      <alignment vertical="top" wrapText="1"/>
    </xf>
    <xf numFmtId="4" fontId="5" fillId="0" borderId="66" xfId="6" applyBorder="1" applyAlignment="1">
      <alignment vertical="top" wrapText="1"/>
    </xf>
    <xf numFmtId="4" fontId="5" fillId="0" borderId="93" xfId="6" applyBorder="1" applyAlignment="1">
      <alignment vertical="top" wrapText="1"/>
    </xf>
    <xf numFmtId="4" fontId="8" fillId="17" borderId="97" xfId="6" applyFont="1" applyFill="1" applyBorder="1" applyAlignment="1">
      <alignment horizontal="center" vertical="center" wrapText="1"/>
    </xf>
    <xf numFmtId="4" fontId="8" fillId="17" borderId="54" xfId="6" applyFont="1" applyFill="1" applyBorder="1" applyAlignment="1">
      <alignment horizontal="center" vertical="center" wrapText="1"/>
    </xf>
    <xf numFmtId="4" fontId="8" fillId="17" borderId="96" xfId="6" applyFont="1" applyFill="1" applyBorder="1" applyAlignment="1">
      <alignment horizontal="center" vertical="center" wrapText="1"/>
    </xf>
    <xf numFmtId="4" fontId="8" fillId="17" borderId="97" xfId="6" applyFont="1" applyFill="1" applyBorder="1" applyAlignment="1">
      <alignment horizontal="center" vertical="top" wrapText="1"/>
    </xf>
    <xf numFmtId="4" fontId="8" fillId="17" borderId="54" xfId="6" applyFont="1" applyFill="1" applyBorder="1" applyAlignment="1">
      <alignment horizontal="center" vertical="top" wrapText="1"/>
    </xf>
    <xf numFmtId="4" fontId="8" fillId="17" borderId="96" xfId="6" applyFont="1" applyFill="1" applyBorder="1" applyAlignment="1">
      <alignment horizontal="center" vertical="top" wrapText="1"/>
    </xf>
    <xf numFmtId="4" fontId="44" fillId="0" borderId="92" xfId="6" applyFont="1" applyBorder="1" applyAlignment="1">
      <alignment vertical="top" wrapText="1"/>
    </xf>
    <xf numFmtId="4" fontId="44" fillId="0" borderId="95" xfId="6" applyFont="1" applyBorder="1" applyAlignment="1">
      <alignment vertical="top" wrapText="1"/>
    </xf>
    <xf numFmtId="4" fontId="4" fillId="0" borderId="83" xfId="6" applyFont="1" applyFill="1" applyBorder="1" applyAlignment="1">
      <alignment horizontal="left" vertical="top"/>
    </xf>
    <xf numFmtId="4" fontId="4" fillId="0" borderId="80" xfId="6" applyFont="1" applyFill="1" applyBorder="1" applyAlignment="1">
      <alignment horizontal="left" vertical="top"/>
    </xf>
    <xf numFmtId="4" fontId="4" fillId="0" borderId="74" xfId="6" applyFont="1" applyBorder="1" applyAlignment="1">
      <alignment horizontal="left" vertical="top" wrapText="1"/>
    </xf>
    <xf numFmtId="4" fontId="44" fillId="0" borderId="85" xfId="6" applyFont="1" applyBorder="1" applyAlignment="1">
      <alignment horizontal="left" vertical="top" wrapText="1"/>
    </xf>
    <xf numFmtId="4" fontId="36" fillId="16" borderId="103" xfId="6" applyFont="1" applyFill="1" applyBorder="1" applyAlignment="1">
      <alignment horizontal="center" vertical="center" wrapText="1"/>
    </xf>
    <xf numFmtId="4" fontId="36" fillId="16" borderId="104" xfId="6" applyFont="1" applyFill="1" applyBorder="1" applyAlignment="1">
      <alignment horizontal="center" vertical="center" wrapText="1"/>
    </xf>
    <xf numFmtId="4" fontId="36" fillId="16" borderId="105" xfId="6" applyFont="1" applyFill="1" applyBorder="1" applyAlignment="1">
      <alignment horizontal="center" vertical="center" wrapText="1"/>
    </xf>
    <xf numFmtId="4" fontId="0" fillId="0" borderId="102" xfId="6" applyFont="1" applyBorder="1" applyAlignment="1">
      <alignment horizontal="left" vertical="top" wrapText="1"/>
    </xf>
    <xf numFmtId="4" fontId="0" fillId="0" borderId="55" xfId="6" applyFont="1" applyBorder="1" applyAlignment="1">
      <alignment horizontal="left" vertical="top" wrapText="1"/>
    </xf>
    <xf numFmtId="4" fontId="0" fillId="0" borderId="101" xfId="6" applyFont="1" applyBorder="1" applyAlignment="1">
      <alignment horizontal="left" vertical="top" wrapText="1"/>
    </xf>
    <xf numFmtId="4" fontId="1" fillId="0" borderId="100" xfId="6" applyFont="1" applyBorder="1" applyAlignment="1">
      <alignment horizontal="left" vertical="top" wrapText="1"/>
    </xf>
    <xf numFmtId="4" fontId="1" fillId="0" borderId="0" xfId="6" applyFont="1" applyBorder="1" applyAlignment="1">
      <alignment horizontal="left" vertical="top" wrapText="1"/>
    </xf>
    <xf numFmtId="4" fontId="1" fillId="0" borderId="76" xfId="6" applyFont="1" applyBorder="1" applyAlignment="1">
      <alignment horizontal="left" vertical="top" wrapText="1"/>
    </xf>
    <xf numFmtId="0" fontId="0" fillId="11" borderId="24" xfId="0" applyFill="1" applyBorder="1" applyAlignment="1">
      <alignment vertical="top" wrapText="1"/>
    </xf>
    <xf numFmtId="0" fontId="0" fillId="11" borderId="31" xfId="0" applyFill="1" applyBorder="1" applyAlignment="1">
      <alignment vertical="top" wrapText="1"/>
    </xf>
    <xf numFmtId="0" fontId="6" fillId="2" borderId="24" xfId="0" applyFont="1" applyFill="1" applyBorder="1" applyAlignment="1">
      <alignment vertical="center" wrapText="1"/>
    </xf>
    <xf numFmtId="0" fontId="6" fillId="2" borderId="31" xfId="0" applyFont="1" applyFill="1" applyBorder="1" applyAlignment="1">
      <alignment vertical="center" wrapText="1"/>
    </xf>
    <xf numFmtId="0" fontId="0" fillId="11" borderId="25" xfId="0" applyFill="1" applyBorder="1" applyAlignment="1">
      <alignment vertical="top" wrapText="1"/>
    </xf>
    <xf numFmtId="0" fontId="0" fillId="11" borderId="41" xfId="0" applyFill="1" applyBorder="1" applyAlignment="1">
      <alignment vertical="top" wrapText="1"/>
    </xf>
    <xf numFmtId="0" fontId="0" fillId="3" borderId="15" xfId="0" applyFill="1" applyBorder="1" applyAlignment="1">
      <alignment horizontal="left" vertical="center" wrapText="1"/>
    </xf>
    <xf numFmtId="0" fontId="0" fillId="3" borderId="54" xfId="0" applyFill="1" applyBorder="1" applyAlignment="1">
      <alignment horizontal="left" vertical="center" wrapText="1"/>
    </xf>
    <xf numFmtId="0" fontId="0" fillId="3" borderId="35" xfId="0" applyFill="1" applyBorder="1" applyAlignment="1">
      <alignment horizontal="left" vertical="center" wrapText="1"/>
    </xf>
    <xf numFmtId="0" fontId="0" fillId="0" borderId="0" xfId="0" applyAlignment="1">
      <alignment horizontal="left" vertical="top" wrapText="1"/>
    </xf>
    <xf numFmtId="0" fontId="6" fillId="0" borderId="0" xfId="0" applyFont="1" applyAlignment="1">
      <alignment vertical="top" wrapText="1"/>
    </xf>
    <xf numFmtId="0" fontId="8" fillId="0" borderId="0" xfId="0" applyFont="1" applyFill="1" applyAlignment="1">
      <alignment vertical="top"/>
    </xf>
    <xf numFmtId="0" fontId="14" fillId="0" borderId="0" xfId="0" applyFont="1" applyAlignment="1">
      <alignment horizontal="left" vertical="top" wrapText="1"/>
    </xf>
    <xf numFmtId="0" fontId="0" fillId="3" borderId="15" xfId="0" applyFont="1" applyFill="1" applyBorder="1" applyAlignment="1">
      <alignment horizontal="left" vertical="center" wrapText="1"/>
    </xf>
    <xf numFmtId="0" fontId="0" fillId="3" borderId="35" xfId="0" applyFont="1" applyFill="1" applyBorder="1" applyAlignment="1">
      <alignment horizontal="left" vertical="center" wrapText="1"/>
    </xf>
    <xf numFmtId="0" fontId="8" fillId="3" borderId="22" xfId="0" applyFont="1" applyFill="1" applyBorder="1" applyAlignment="1">
      <alignment horizontal="center"/>
    </xf>
    <xf numFmtId="0" fontId="8" fillId="3" borderId="39" xfId="0" applyFont="1" applyFill="1" applyBorder="1" applyAlignment="1">
      <alignment horizontal="center"/>
    </xf>
    <xf numFmtId="0" fontId="8" fillId="3" borderId="17" xfId="0" applyFont="1" applyFill="1" applyBorder="1" applyAlignment="1">
      <alignment horizontal="center"/>
    </xf>
    <xf numFmtId="0" fontId="8" fillId="3" borderId="11" xfId="0" applyFont="1" applyFill="1" applyBorder="1" applyAlignment="1">
      <alignment horizontal="center"/>
    </xf>
    <xf numFmtId="0" fontId="6" fillId="2" borderId="28" xfId="0" applyFont="1" applyFill="1" applyBorder="1" applyAlignment="1">
      <alignment vertical="center"/>
    </xf>
    <xf numFmtId="0" fontId="6" fillId="2" borderId="40" xfId="0" applyFont="1" applyFill="1" applyBorder="1" applyAlignment="1">
      <alignment vertical="center"/>
    </xf>
    <xf numFmtId="4" fontId="35" fillId="21" borderId="0" xfId="6" applyFont="1" applyFill="1" applyAlignment="1" applyProtection="1">
      <alignment horizontal="center" vertical="top" wrapText="1"/>
    </xf>
    <xf numFmtId="4" fontId="37" fillId="16" borderId="15" xfId="6" applyFont="1" applyFill="1" applyBorder="1" applyAlignment="1" applyProtection="1">
      <alignment horizontal="center" vertical="center"/>
      <protection locked="0"/>
    </xf>
    <xf numFmtId="4" fontId="37" fillId="16" borderId="54" xfId="6" applyFont="1" applyFill="1" applyBorder="1" applyAlignment="1" applyProtection="1">
      <alignment horizontal="center" vertical="center"/>
      <protection locked="0"/>
    </xf>
    <xf numFmtId="4" fontId="37" fillId="16" borderId="44" xfId="6" applyFont="1" applyFill="1" applyBorder="1" applyAlignment="1" applyProtection="1">
      <alignment horizontal="center" vertical="center"/>
      <protection locked="0"/>
    </xf>
    <xf numFmtId="4" fontId="26" fillId="20" borderId="13" xfId="6" applyFont="1" applyFill="1" applyBorder="1" applyAlignment="1" applyProtection="1">
      <alignment horizontal="left" vertical="center" wrapText="1"/>
    </xf>
    <xf numFmtId="4" fontId="26" fillId="20" borderId="66" xfId="6" applyFont="1" applyFill="1" applyBorder="1" applyAlignment="1" applyProtection="1">
      <alignment horizontal="left" vertical="center" wrapText="1"/>
    </xf>
    <xf numFmtId="4" fontId="26" fillId="20" borderId="51" xfId="6" applyFont="1" applyFill="1" applyBorder="1" applyAlignment="1" applyProtection="1">
      <alignment horizontal="left" vertical="center" wrapText="1"/>
    </xf>
    <xf numFmtId="4" fontId="26" fillId="17" borderId="12" xfId="6" applyFont="1" applyFill="1" applyBorder="1" applyAlignment="1" applyProtection="1">
      <alignment horizontal="right" vertical="center"/>
      <protection locked="0"/>
    </xf>
    <xf numFmtId="4" fontId="26" fillId="17" borderId="55" xfId="6" applyFont="1" applyFill="1" applyBorder="1" applyAlignment="1" applyProtection="1">
      <alignment horizontal="right" vertical="center"/>
      <protection locked="0"/>
    </xf>
    <xf numFmtId="4" fontId="26" fillId="17" borderId="71" xfId="6" applyFont="1" applyFill="1" applyBorder="1" applyAlignment="1" applyProtection="1">
      <alignment horizontal="right" vertical="center"/>
      <protection locked="0"/>
    </xf>
    <xf numFmtId="167" fontId="26" fillId="17" borderId="32" xfId="6" applyNumberFormat="1" applyFont="1" applyFill="1" applyBorder="1" applyAlignment="1" applyProtection="1">
      <alignment horizontal="right" vertical="center"/>
    </xf>
    <xf numFmtId="167" fontId="26" fillId="17" borderId="72" xfId="6" applyNumberFormat="1" applyFont="1" applyFill="1" applyBorder="1" applyAlignment="1" applyProtection="1">
      <alignment horizontal="right" vertical="center"/>
    </xf>
    <xf numFmtId="4" fontId="38" fillId="20" borderId="13" xfId="6" applyFont="1" applyFill="1" applyBorder="1" applyAlignment="1" applyProtection="1">
      <alignment horizontal="right" vertical="center"/>
      <protection locked="0"/>
    </xf>
    <xf numFmtId="4" fontId="1" fillId="20" borderId="66" xfId="6" applyFont="1" applyFill="1" applyBorder="1" applyAlignment="1" applyProtection="1">
      <alignment horizontal="right" vertical="center"/>
      <protection locked="0"/>
    </xf>
    <xf numFmtId="4" fontId="1" fillId="20" borderId="70" xfId="6" applyFont="1" applyFill="1" applyBorder="1" applyAlignment="1" applyProtection="1">
      <alignment horizontal="right" vertical="center"/>
      <protection locked="0"/>
    </xf>
    <xf numFmtId="4" fontId="37" fillId="16" borderId="12" xfId="6" applyFont="1" applyFill="1" applyBorder="1" applyAlignment="1" applyProtection="1">
      <alignment horizontal="right"/>
    </xf>
    <xf numFmtId="4" fontId="37" fillId="16" borderId="71" xfId="6" applyFont="1" applyFill="1" applyBorder="1" applyAlignment="1" applyProtection="1">
      <alignment horizontal="right"/>
    </xf>
    <xf numFmtId="4" fontId="37" fillId="16" borderId="13" xfId="6" applyFont="1" applyFill="1" applyBorder="1" applyAlignment="1" applyProtection="1">
      <alignment horizontal="right"/>
    </xf>
    <xf numFmtId="4" fontId="37" fillId="16" borderId="70" xfId="6" applyFont="1" applyFill="1" applyBorder="1" applyAlignment="1" applyProtection="1">
      <alignment horizontal="right"/>
    </xf>
    <xf numFmtId="9" fontId="5" fillId="20" borderId="48" xfId="3" applyFont="1" applyFill="1" applyBorder="1" applyAlignment="1" applyProtection="1">
      <alignment horizontal="center" vertical="center"/>
    </xf>
    <xf numFmtId="9" fontId="5" fillId="20" borderId="6" xfId="3" applyFont="1" applyFill="1" applyBorder="1" applyAlignment="1" applyProtection="1">
      <alignment horizontal="center" vertical="center"/>
    </xf>
    <xf numFmtId="0" fontId="17" fillId="13" borderId="1" xfId="0" applyFont="1" applyFill="1" applyBorder="1" applyAlignment="1" applyProtection="1">
      <alignment horizontal="left" vertical="center" wrapText="1"/>
      <protection locked="0"/>
    </xf>
    <xf numFmtId="0" fontId="0" fillId="0" borderId="45" xfId="0" applyBorder="1" applyAlignment="1">
      <alignment wrapText="1"/>
    </xf>
    <xf numFmtId="0" fontId="1" fillId="0" borderId="0" xfId="0" applyFont="1" applyAlignment="1">
      <alignment horizontal="left" vertical="top" wrapText="1"/>
    </xf>
    <xf numFmtId="49" fontId="17" fillId="26" borderId="1" xfId="0" applyNumberFormat="1" applyFont="1" applyFill="1" applyBorder="1" applyAlignment="1" applyProtection="1">
      <alignment horizontal="left" vertical="center" wrapText="1"/>
      <protection locked="0"/>
    </xf>
    <xf numFmtId="49" fontId="0" fillId="0" borderId="45" xfId="0" applyNumberFormat="1" applyBorder="1" applyAlignment="1">
      <alignment vertical="center" wrapText="1"/>
    </xf>
    <xf numFmtId="0" fontId="37" fillId="22" borderId="34" xfId="0" applyFont="1" applyFill="1" applyBorder="1" applyAlignment="1" applyProtection="1">
      <alignment horizontal="center" vertical="center" wrapText="1"/>
    </xf>
    <xf numFmtId="0" fontId="37" fillId="22" borderId="57" xfId="0" applyFont="1" applyFill="1" applyBorder="1" applyAlignment="1" applyProtection="1">
      <alignment horizontal="center" vertical="center" wrapText="1"/>
    </xf>
    <xf numFmtId="0" fontId="1" fillId="17" borderId="60" xfId="0" applyFont="1" applyFill="1" applyBorder="1" applyAlignment="1" applyProtection="1">
      <alignment horizontal="center" vertical="center" wrapText="1"/>
    </xf>
    <xf numFmtId="0" fontId="1" fillId="17" borderId="49" xfId="0" applyFont="1" applyFill="1" applyBorder="1" applyAlignment="1" applyProtection="1">
      <alignment horizontal="center" vertical="center" wrapText="1"/>
    </xf>
    <xf numFmtId="0" fontId="1" fillId="17" borderId="3" xfId="0" applyFont="1" applyFill="1" applyBorder="1" applyAlignment="1" applyProtection="1">
      <alignment horizontal="center" vertical="center" wrapText="1"/>
    </xf>
    <xf numFmtId="0" fontId="1" fillId="2" borderId="60"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56" xfId="0" applyFont="1" applyFill="1" applyBorder="1" applyAlignment="1">
      <alignment horizontal="center" vertical="center"/>
    </xf>
    <xf numFmtId="0" fontId="1" fillId="17" borderId="48" xfId="0" applyFont="1" applyFill="1" applyBorder="1" applyAlignment="1" applyProtection="1">
      <alignment horizontal="center" vertical="center" wrapText="1"/>
    </xf>
    <xf numFmtId="0" fontId="1" fillId="17" borderId="47" xfId="0" applyFont="1" applyFill="1" applyBorder="1" applyAlignment="1" applyProtection="1">
      <alignment horizontal="center" vertical="center" wrapText="1"/>
    </xf>
    <xf numFmtId="0" fontId="0" fillId="11" borderId="24" xfId="0" applyFill="1" applyBorder="1" applyAlignment="1">
      <alignment vertical="top"/>
    </xf>
    <xf numFmtId="0" fontId="0" fillId="11" borderId="31" xfId="0" applyFill="1" applyBorder="1" applyAlignment="1">
      <alignment vertical="top"/>
    </xf>
    <xf numFmtId="0" fontId="0" fillId="11" borderId="25" xfId="0" applyFill="1" applyBorder="1" applyAlignment="1">
      <alignment vertical="top"/>
    </xf>
    <xf numFmtId="0" fontId="0" fillId="11" borderId="41" xfId="0" applyFill="1" applyBorder="1" applyAlignment="1">
      <alignment vertical="top"/>
    </xf>
    <xf numFmtId="0" fontId="6" fillId="2" borderId="24" xfId="0" applyFont="1" applyFill="1" applyBorder="1" applyAlignment="1">
      <alignment vertical="center"/>
    </xf>
    <xf numFmtId="0" fontId="6" fillId="2" borderId="31" xfId="0" applyFont="1" applyFill="1" applyBorder="1" applyAlignment="1">
      <alignment vertical="center"/>
    </xf>
    <xf numFmtId="0" fontId="17" fillId="13" borderId="32" xfId="0" applyFont="1" applyFill="1" applyBorder="1" applyAlignment="1" applyProtection="1">
      <alignment horizontal="center" vertical="center"/>
      <protection locked="0"/>
    </xf>
    <xf numFmtId="0" fontId="17" fillId="13" borderId="69" xfId="0" applyFont="1" applyFill="1" applyBorder="1" applyAlignment="1" applyProtection="1">
      <alignment horizontal="center" vertical="center"/>
      <protection locked="0"/>
    </xf>
    <xf numFmtId="0" fontId="17" fillId="13" borderId="68" xfId="0" applyFont="1" applyFill="1" applyBorder="1" applyAlignment="1" applyProtection="1">
      <alignment horizontal="center" vertical="center"/>
      <protection locked="0"/>
    </xf>
    <xf numFmtId="0" fontId="17" fillId="13" borderId="1" xfId="0" applyFont="1" applyFill="1" applyBorder="1" applyAlignment="1" applyProtection="1">
      <alignment horizontal="center" vertical="center"/>
      <protection locked="0"/>
    </xf>
    <xf numFmtId="0" fontId="17" fillId="13" borderId="2" xfId="0" applyFont="1" applyFill="1" applyBorder="1" applyAlignment="1" applyProtection="1">
      <alignment horizontal="center" vertical="center"/>
      <protection locked="0"/>
    </xf>
    <xf numFmtId="0" fontId="17" fillId="13" borderId="62" xfId="0" applyFont="1" applyFill="1" applyBorder="1" applyAlignment="1" applyProtection="1">
      <alignment horizontal="center" vertical="center"/>
      <protection locked="0"/>
    </xf>
    <xf numFmtId="0" fontId="22" fillId="13" borderId="15" xfId="0" applyFont="1" applyFill="1" applyBorder="1" applyAlignment="1" applyProtection="1">
      <alignment horizontal="left" vertical="center"/>
      <protection locked="0"/>
    </xf>
    <xf numFmtId="0" fontId="22" fillId="13" borderId="54" xfId="0" applyFont="1" applyFill="1" applyBorder="1" applyAlignment="1" applyProtection="1">
      <alignment horizontal="left" vertical="center"/>
      <protection locked="0"/>
    </xf>
    <xf numFmtId="0" fontId="22" fillId="13" borderId="44" xfId="0" applyFont="1" applyFill="1" applyBorder="1" applyAlignment="1" applyProtection="1">
      <alignment horizontal="left" vertical="center"/>
      <protection locked="0"/>
    </xf>
    <xf numFmtId="0" fontId="18" fillId="13" borderId="34" xfId="0" applyFont="1" applyFill="1" applyBorder="1" applyAlignment="1" applyProtection="1">
      <alignment horizontal="center" vertical="top" wrapText="1"/>
      <protection locked="0"/>
    </xf>
    <xf numFmtId="0" fontId="18" fillId="13" borderId="57" xfId="0" applyFont="1" applyFill="1" applyBorder="1" applyAlignment="1" applyProtection="1">
      <alignment horizontal="center" vertical="top" wrapText="1"/>
      <protection locked="0"/>
    </xf>
    <xf numFmtId="0" fontId="18" fillId="13" borderId="56" xfId="0" applyFont="1" applyFill="1" applyBorder="1" applyAlignment="1" applyProtection="1">
      <alignment horizontal="center" vertical="top" wrapText="1"/>
      <protection locked="0"/>
    </xf>
    <xf numFmtId="0" fontId="29" fillId="11" borderId="3" xfId="0" applyFont="1" applyFill="1" applyBorder="1" applyAlignment="1" applyProtection="1">
      <alignment horizontal="center"/>
      <protection locked="0"/>
    </xf>
    <xf numFmtId="0" fontId="28" fillId="5" borderId="60" xfId="0" applyFont="1" applyFill="1" applyBorder="1" applyAlignment="1" applyProtection="1">
      <alignment horizontal="center"/>
    </xf>
    <xf numFmtId="0" fontId="28" fillId="5" borderId="59" xfId="0" applyFont="1" applyFill="1" applyBorder="1" applyAlignment="1" applyProtection="1">
      <alignment horizontal="center"/>
    </xf>
    <xf numFmtId="0" fontId="0" fillId="0" borderId="0" xfId="0" applyAlignment="1" applyProtection="1">
      <alignment horizontal="center"/>
      <protection locked="0"/>
    </xf>
    <xf numFmtId="0" fontId="32" fillId="16" borderId="0" xfId="0" applyFont="1" applyFill="1" applyBorder="1" applyAlignment="1" applyProtection="1">
      <alignment horizontal="center" vertical="center" wrapText="1"/>
    </xf>
    <xf numFmtId="0" fontId="26" fillId="17" borderId="3" xfId="0" applyFont="1" applyFill="1" applyBorder="1" applyAlignment="1" applyProtection="1">
      <alignment horizontal="center" vertical="center" wrapText="1"/>
    </xf>
    <xf numFmtId="0" fontId="30" fillId="17" borderId="3" xfId="0" applyFont="1" applyFill="1" applyBorder="1" applyAlignment="1" applyProtection="1">
      <alignment horizontal="left" vertical="top" wrapText="1"/>
    </xf>
    <xf numFmtId="0" fontId="29" fillId="11" borderId="3" xfId="0" applyFont="1" applyFill="1" applyBorder="1" applyAlignment="1" applyProtection="1">
      <alignment horizontal="center" vertical="center" wrapText="1"/>
      <protection locked="0"/>
    </xf>
    <xf numFmtId="0" fontId="26" fillId="0" borderId="3" xfId="0" applyFont="1" applyBorder="1" applyAlignment="1" applyProtection="1">
      <alignment horizontal="center" vertical="center"/>
    </xf>
    <xf numFmtId="0" fontId="24" fillId="24" borderId="73" xfId="5" applyFill="1" applyBorder="1" applyAlignment="1">
      <alignment horizontal="center"/>
    </xf>
    <xf numFmtId="0" fontId="24" fillId="24" borderId="0" xfId="5" applyFill="1" applyAlignment="1">
      <alignment horizontal="center"/>
    </xf>
    <xf numFmtId="0" fontId="0"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 xfId="0" applyFont="1" applyBorder="1" applyAlignment="1">
      <alignment vertical="center" wrapText="1"/>
    </xf>
    <xf numFmtId="0" fontId="0" fillId="0" borderId="14" xfId="0" applyFont="1" applyBorder="1" applyAlignment="1">
      <alignment vertical="center" wrapText="1"/>
    </xf>
    <xf numFmtId="0" fontId="0" fillId="0" borderId="5" xfId="0" applyFont="1" applyBorder="1" applyAlignment="1">
      <alignment vertical="center" wrapText="1"/>
    </xf>
    <xf numFmtId="0" fontId="0" fillId="0" borderId="4" xfId="0" applyFont="1" applyBorder="1" applyAlignment="1">
      <alignment horizontal="center" vertical="center" wrapText="1"/>
    </xf>
    <xf numFmtId="0" fontId="67" fillId="0" borderId="14" xfId="0" applyFont="1" applyBorder="1" applyAlignment="1">
      <alignment horizontal="center" vertical="center" wrapText="1"/>
    </xf>
    <xf numFmtId="0" fontId="0" fillId="0" borderId="4" xfId="0" applyFont="1" applyBorder="1" applyAlignment="1">
      <alignment horizontal="left" vertical="center" wrapText="1"/>
    </xf>
    <xf numFmtId="0" fontId="65" fillId="0" borderId="14" xfId="0" applyFont="1" applyBorder="1" applyAlignment="1">
      <alignment horizontal="left" vertical="center" wrapText="1"/>
    </xf>
    <xf numFmtId="0" fontId="67" fillId="0" borderId="5" xfId="0" applyFont="1" applyBorder="1" applyAlignment="1">
      <alignment horizontal="center" vertical="center" wrapText="1"/>
    </xf>
    <xf numFmtId="0" fontId="65" fillId="0" borderId="5" xfId="0" applyFont="1" applyBorder="1" applyAlignment="1">
      <alignment horizontal="left" vertical="center" wrapText="1"/>
    </xf>
    <xf numFmtId="0" fontId="36" fillId="14" borderId="15" xfId="0" applyFont="1" applyFill="1" applyBorder="1" applyAlignment="1">
      <alignment horizontal="center"/>
    </xf>
    <xf numFmtId="0" fontId="36" fillId="14" borderId="54" xfId="0" applyFont="1" applyFill="1" applyBorder="1" applyAlignment="1">
      <alignment horizontal="center"/>
    </xf>
    <xf numFmtId="0" fontId="36" fillId="14" borderId="44" xfId="0" applyFont="1" applyFill="1" applyBorder="1" applyAlignment="1">
      <alignment horizontal="center"/>
    </xf>
    <xf numFmtId="0" fontId="26" fillId="16" borderId="15" xfId="0" applyFont="1" applyFill="1" applyBorder="1" applyAlignment="1">
      <alignment horizontal="center" vertical="center" wrapText="1"/>
    </xf>
    <xf numFmtId="0" fontId="26" fillId="16" borderId="44" xfId="0" applyFont="1" applyFill="1" applyBorder="1" applyAlignment="1">
      <alignment horizontal="center" vertical="center" wrapText="1"/>
    </xf>
    <xf numFmtId="0" fontId="13" fillId="7" borderId="36" xfId="0" applyFont="1" applyFill="1" applyBorder="1" applyAlignment="1">
      <alignment horizontal="left" vertical="center"/>
    </xf>
    <xf numFmtId="0" fontId="13" fillId="7" borderId="45" xfId="0" applyFont="1" applyFill="1" applyBorder="1" applyAlignment="1">
      <alignment horizontal="left" vertical="center"/>
    </xf>
    <xf numFmtId="0" fontId="13" fillId="12" borderId="36" xfId="0" applyFont="1" applyFill="1" applyBorder="1" applyAlignment="1">
      <alignment horizontal="left" vertical="top"/>
    </xf>
    <xf numFmtId="0" fontId="13" fillId="12" borderId="45" xfId="0" applyFont="1" applyFill="1" applyBorder="1" applyAlignment="1">
      <alignment horizontal="left" vertical="top"/>
    </xf>
    <xf numFmtId="0" fontId="1" fillId="3" borderId="15" xfId="0" applyFont="1" applyFill="1" applyBorder="1" applyAlignment="1">
      <alignment horizontal="center"/>
    </xf>
    <xf numFmtId="0" fontId="1" fillId="3" borderId="44" xfId="0" applyFont="1" applyFill="1" applyBorder="1" applyAlignment="1">
      <alignment horizontal="center"/>
    </xf>
    <xf numFmtId="0" fontId="1" fillId="3" borderId="15" xfId="0" applyFont="1" applyFill="1" applyBorder="1" applyAlignment="1">
      <alignment horizontal="center" vertical="top"/>
    </xf>
    <xf numFmtId="0" fontId="1" fillId="3" borderId="44" xfId="0" applyFont="1" applyFill="1" applyBorder="1" applyAlignment="1">
      <alignment horizontal="center" vertical="top"/>
    </xf>
    <xf numFmtId="0" fontId="13" fillId="12" borderId="37" xfId="0" applyFont="1" applyFill="1" applyBorder="1" applyAlignment="1">
      <alignment horizontal="left" vertical="top"/>
    </xf>
    <xf numFmtId="0" fontId="13" fillId="12" borderId="53" xfId="0" applyFont="1" applyFill="1" applyBorder="1" applyAlignment="1">
      <alignment horizontal="left" vertical="top"/>
    </xf>
    <xf numFmtId="0" fontId="8" fillId="3" borderId="12"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51" xfId="0" applyFont="1" applyFill="1" applyBorder="1" applyAlignment="1">
      <alignment horizontal="center" vertical="center"/>
    </xf>
    <xf numFmtId="0" fontId="6" fillId="2" borderId="43" xfId="0" applyFont="1" applyFill="1" applyBorder="1" applyAlignment="1">
      <alignment horizontal="left" vertical="center"/>
    </xf>
    <xf numFmtId="0" fontId="6" fillId="2" borderId="52" xfId="0" applyFont="1" applyFill="1" applyBorder="1" applyAlignment="1">
      <alignment horizontal="left" vertical="center"/>
    </xf>
    <xf numFmtId="0" fontId="0" fillId="12" borderId="36" xfId="0" applyFill="1" applyBorder="1" applyAlignment="1">
      <alignment horizontal="left" vertical="top"/>
    </xf>
    <xf numFmtId="0" fontId="0" fillId="12" borderId="45" xfId="0" applyFill="1" applyBorder="1" applyAlignment="1">
      <alignment horizontal="left" vertical="top"/>
    </xf>
  </cellXfs>
  <cellStyles count="7">
    <cellStyle name="bpm_h3" xfId="1" xr:uid="{00000000-0005-0000-0000-000000000000}"/>
    <cellStyle name="Comma" xfId="2" builtinId="3"/>
    <cellStyle name="Currency" xfId="4" builtinId="4"/>
    <cellStyle name="Hyperlink" xfId="5" builtinId="8"/>
    <cellStyle name="Normal" xfId="0" builtinId="0"/>
    <cellStyle name="Normal 2" xfId="6" xr:uid="{00000000-0005-0000-0000-000005000000}"/>
    <cellStyle name="Percent" xfId="3" builtinId="5"/>
  </cellStyles>
  <dxfs count="96">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3" formatCode="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numFmt numFmtId="165" formatCode="0.0"/>
      <fill>
        <patternFill patternType="solid">
          <fgColor theme="4"/>
          <bgColor theme="4"/>
        </patternFill>
      </fill>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Calibri"/>
        <scheme val="minor"/>
      </font>
    </dxf>
    <dxf>
      <font>
        <b/>
        <i val="0"/>
        <strike val="0"/>
        <condense val="0"/>
        <extend val="0"/>
        <outline val="0"/>
        <shadow val="0"/>
        <u val="none"/>
        <vertAlign val="baseline"/>
        <sz val="11"/>
        <color theme="1"/>
        <name val="Calibri"/>
        <scheme val="minor"/>
      </font>
      <numFmt numFmtId="165" formatCode="0.0"/>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dxf>
    <dxf>
      <border outline="0">
        <top style="medium">
          <color indexed="64"/>
        </top>
      </border>
    </dxf>
    <dxf>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border outline="0">
        <left style="thin">
          <color theme="4" tint="0.39997558519241921"/>
        </left>
        <top style="thin">
          <color theme="4" tint="0.39997558519241921"/>
        </top>
      </border>
    </dxf>
    <dxf>
      <font>
        <b val="0"/>
        <i val="0"/>
        <strike val="0"/>
        <condense val="0"/>
        <extend val="0"/>
        <outline val="0"/>
        <shadow val="0"/>
        <u val="none"/>
        <vertAlign val="baseline"/>
        <sz val="11"/>
        <color theme="1"/>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auto="1"/>
        <name val="Calibri"/>
        <scheme val="minor"/>
      </font>
      <numFmt numFmtId="165" formatCode="0.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FF000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strike val="0"/>
        <outline val="0"/>
        <shadow val="0"/>
        <u val="none"/>
        <vertAlign val="baseline"/>
        <sz val="11"/>
        <color auto="1"/>
        <name val="Calibri"/>
        <scheme val="minor"/>
      </font>
      <numFmt numFmtId="165" formatCode="0.0"/>
    </dxf>
    <dxf>
      <font>
        <color rgb="FF006100"/>
      </font>
      <fill>
        <patternFill>
          <bgColor rgb="FFC6EFCE"/>
        </patternFill>
      </fill>
    </dxf>
    <dxf>
      <numFmt numFmtId="174" formatCode="\1\7\5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tionalPrograms/Templates/GMFApplicationsTemplates/2015_GMF_BudgetWorkPlanTemplates_v.Oct2015/2015_Workplan_Budget_Template_PilotProjects_v3.0_Oct2015_e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7FS01\Shared\NationalPrograms\FundingServices\ProgramGMF\Templates\Application\Workbook\PSP\TMP_PSP_ProjectWorkbook_v5.1_(AODA)FIN_e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ligible &amp; Ineligible Costs"/>
      <sheetName val="1. Budget - Pilot Project"/>
      <sheetName val="2. Sources of Funding"/>
      <sheetName val="Phases"/>
    </sheetNames>
    <sheetDataSet>
      <sheetData sheetId="0" refreshError="1"/>
      <sheetData sheetId="1" refreshError="1"/>
      <sheetData sheetId="2">
        <row r="92">
          <cell r="E92">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Eligible and Ineligible Costs"/>
      <sheetName val="3. Budget - Work Plan"/>
      <sheetName val="4. Sources of Funding"/>
      <sheetName val="5.Payment &amp; reporting table"/>
      <sheetName val="6. Expense Claim"/>
    </sheetNames>
    <sheetDataSet>
      <sheetData sheetId="0" refreshError="1"/>
      <sheetData sheetId="1" refreshError="1"/>
      <sheetData sheetId="2" refreshError="1"/>
      <sheetData sheetId="3" refreshError="1">
        <row r="4">
          <cell r="E4">
            <v>0</v>
          </cell>
        </row>
      </sheetData>
      <sheetData sheetId="4" refreshError="1"/>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Luce Engérant" id="{6B245315-8F34-454A-97FE-8E60141FE7EB}" userId="S::luce.engerant@dunsky.com::0548da75-03e6-48e0-b23c-3ae18c0ec5e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CO2_per_hshld_by_source" displayName="tCO2_per_hshld_by_source" ref="D14:O19" totalsRowShown="0">
  <autoFilter ref="D14:O19" xr:uid="{00000000-0009-0000-0100-000001000000}"/>
  <tableColumns count="12">
    <tableColumn id="1" xr3:uid="{00000000-0010-0000-0000-000001000000}" name="Energy source"/>
    <tableColumn id="2" xr3:uid="{00000000-0010-0000-0000-000002000000}" name="BC" dataDxfId="93"/>
    <tableColumn id="3" xr3:uid="{00000000-0010-0000-0000-000003000000}" name="AB" dataDxfId="92"/>
    <tableColumn id="4" xr3:uid="{00000000-0010-0000-0000-000004000000}" name="SK" dataDxfId="91"/>
    <tableColumn id="5" xr3:uid="{00000000-0010-0000-0000-000005000000}" name="MB" dataDxfId="90"/>
    <tableColumn id="6" xr3:uid="{00000000-0010-0000-0000-000006000000}" name="ON" dataDxfId="89"/>
    <tableColumn id="7" xr3:uid="{00000000-0010-0000-0000-000007000000}" name="QC" dataDxfId="88"/>
    <tableColumn id="8" xr3:uid="{00000000-0010-0000-0000-000008000000}" name="NB" dataDxfId="87"/>
    <tableColumn id="9" xr3:uid="{00000000-0010-0000-0000-000009000000}" name="NS" dataDxfId="86"/>
    <tableColumn id="10" xr3:uid="{00000000-0010-0000-0000-00000A000000}" name="NL" dataDxfId="85"/>
    <tableColumn id="11" xr3:uid="{00000000-0010-0000-0000-00000B000000}" name="PE" dataDxfId="84"/>
    <tableColumn id="12" xr3:uid="{00000000-0010-0000-0000-00000C000000}" name="TR" dataDxfId="8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GJ_of_energy" displayName="GJ_of_energy" ref="D5:O11" totalsRowShown="0">
  <autoFilter ref="D5:O11" xr:uid="{00000000-0009-0000-0100-000002000000}"/>
  <tableColumns count="12">
    <tableColumn id="1" xr3:uid="{00000000-0010-0000-0100-000001000000}" name="Energy source"/>
    <tableColumn id="2" xr3:uid="{00000000-0010-0000-0100-000002000000}" name="BC" dataDxfId="82"/>
    <tableColumn id="3" xr3:uid="{00000000-0010-0000-0100-000003000000}" name="AB" dataDxfId="81"/>
    <tableColumn id="4" xr3:uid="{00000000-0010-0000-0100-000004000000}" name="SK" dataDxfId="80"/>
    <tableColumn id="5" xr3:uid="{00000000-0010-0000-0100-000005000000}" name="MB" dataDxfId="79"/>
    <tableColumn id="6" xr3:uid="{00000000-0010-0000-0100-000006000000}" name="ON" dataDxfId="78"/>
    <tableColumn id="7" xr3:uid="{00000000-0010-0000-0100-000007000000}" name="QC" dataDxfId="77"/>
    <tableColumn id="8" xr3:uid="{00000000-0010-0000-0100-000008000000}" name="NB" dataDxfId="76"/>
    <tableColumn id="9" xr3:uid="{00000000-0010-0000-0100-000009000000}" name="NS" dataDxfId="75"/>
    <tableColumn id="10" xr3:uid="{00000000-0010-0000-0100-00000A000000}" name="NL" dataDxfId="74"/>
    <tableColumn id="11" xr3:uid="{00000000-0010-0000-0100-00000B000000}" name="PE" dataDxfId="73"/>
    <tableColumn id="12" xr3:uid="{00000000-0010-0000-0100-00000C000000}" name="TR" dataDxfId="7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D22:O27" totalsRowShown="0" headerRowDxfId="71" dataDxfId="70">
  <autoFilter ref="D22:O27" xr:uid="{00000000-0009-0000-0100-000003000000}"/>
  <tableColumns count="12">
    <tableColumn id="1" xr3:uid="{00000000-0010-0000-0200-000001000000}" name="End-use" dataDxfId="69"/>
    <tableColumn id="2" xr3:uid="{00000000-0010-0000-0200-000002000000}" name="BC" dataDxfId="68"/>
    <tableColumn id="3" xr3:uid="{00000000-0010-0000-0200-000003000000}" name="AB" dataDxfId="67"/>
    <tableColumn id="4" xr3:uid="{00000000-0010-0000-0200-000004000000}" name="SK" dataDxfId="66"/>
    <tableColumn id="5" xr3:uid="{00000000-0010-0000-0200-000005000000}" name="MB" dataDxfId="65"/>
    <tableColumn id="6" xr3:uid="{00000000-0010-0000-0200-000006000000}" name="ON" dataDxfId="64"/>
    <tableColumn id="7" xr3:uid="{00000000-0010-0000-0200-000007000000}" name="QC" dataDxfId="63"/>
    <tableColumn id="8" xr3:uid="{00000000-0010-0000-0200-000008000000}" name="NB" dataDxfId="62"/>
    <tableColumn id="9" xr3:uid="{00000000-0010-0000-0200-000009000000}" name="NS" dataDxfId="61"/>
    <tableColumn id="10" xr3:uid="{00000000-0010-0000-0200-00000A000000}" name="NL" dataDxfId="60"/>
    <tableColumn id="11" xr3:uid="{00000000-0010-0000-0200-00000B000000}" name="PE" dataDxfId="59"/>
    <tableColumn id="12" xr3:uid="{00000000-0010-0000-0200-00000C000000}" name="Tr" dataDxfId="5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Pct_energy_by_end_use" displayName="Pct_energy_by_end_use" ref="D30:O35" totalsRowShown="0" headerRowDxfId="57" dataDxfId="55" headerRowBorderDxfId="56" tableBorderDxfId="54" dataCellStyle="Percent">
  <autoFilter ref="D30:O35" xr:uid="{00000000-0009-0000-0100-000004000000}"/>
  <tableColumns count="12">
    <tableColumn id="1" xr3:uid="{00000000-0010-0000-0300-000001000000}" name="End-use" dataDxfId="53"/>
    <tableColumn id="2" xr3:uid="{00000000-0010-0000-0300-000002000000}" name="BC" dataDxfId="52" dataCellStyle="Percent">
      <calculatedColumnFormula>E23/E$28</calculatedColumnFormula>
    </tableColumn>
    <tableColumn id="3" xr3:uid="{00000000-0010-0000-0300-000003000000}" name="AB" dataDxfId="51" dataCellStyle="Percent">
      <calculatedColumnFormula>F23/F$28</calculatedColumnFormula>
    </tableColumn>
    <tableColumn id="4" xr3:uid="{00000000-0010-0000-0300-000004000000}" name="SK" dataDxfId="50" dataCellStyle="Percent">
      <calculatedColumnFormula>G23/G$28</calculatedColumnFormula>
    </tableColumn>
    <tableColumn id="5" xr3:uid="{00000000-0010-0000-0300-000005000000}" name="MB" dataDxfId="49" dataCellStyle="Percent">
      <calculatedColumnFormula>H23/H$28</calculatedColumnFormula>
    </tableColumn>
    <tableColumn id="6" xr3:uid="{00000000-0010-0000-0300-000006000000}" name="ON" dataDxfId="48" dataCellStyle="Percent">
      <calculatedColumnFormula>I23/I$28</calculatedColumnFormula>
    </tableColumn>
    <tableColumn id="7" xr3:uid="{00000000-0010-0000-0300-000007000000}" name="QC" dataDxfId="47" dataCellStyle="Percent">
      <calculatedColumnFormula>J23/J$28</calculatedColumnFormula>
    </tableColumn>
    <tableColumn id="8" xr3:uid="{00000000-0010-0000-0300-000008000000}" name="NB" dataDxfId="46" dataCellStyle="Percent">
      <calculatedColumnFormula>K23/K$28</calculatedColumnFormula>
    </tableColumn>
    <tableColumn id="9" xr3:uid="{00000000-0010-0000-0300-000009000000}" name="NS" dataDxfId="45" dataCellStyle="Percent">
      <calculatedColumnFormula>L23/L$28</calculatedColumnFormula>
    </tableColumn>
    <tableColumn id="10" xr3:uid="{00000000-0010-0000-0300-00000A000000}" name="NL" dataDxfId="44" dataCellStyle="Percent">
      <calculatedColumnFormula>M23/M$28</calculatedColumnFormula>
    </tableColumn>
    <tableColumn id="11" xr3:uid="{00000000-0010-0000-0300-00000B000000}" name="PE" dataDxfId="43" dataCellStyle="Percent">
      <calculatedColumnFormula>N23/N$28</calculatedColumnFormula>
    </tableColumn>
    <tableColumn id="12" xr3:uid="{00000000-0010-0000-0300-00000C000000}" name="Tr" dataDxfId="42" dataCellStyle="Percent">
      <calculatedColumnFormula>O23/O$28</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olar_kW_to_kWh" displayName="Solar_kW_to_kWh" ref="D53:E66" totalsRowShown="0" headerRowDxfId="41" headerRowBorderDxfId="40" tableBorderDxfId="39" totalsRowBorderDxfId="38">
  <autoFilter ref="D53:E66" xr:uid="{00000000-0009-0000-0100-000005000000}"/>
  <tableColumns count="2">
    <tableColumn id="1" xr3:uid="{00000000-0010-0000-0400-000001000000}" name="Province" dataDxfId="37"/>
    <tableColumn id="2" xr3:uid="{00000000-0010-0000-0400-000002000000}" name="kWh a year /kW installed" dataDxfId="3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D69:E77" totalsRowShown="0" headerRowDxfId="35" tableBorderDxfId="34">
  <autoFilter ref="D69:E77" xr:uid="{00000000-0009-0000-0100-000006000000}"/>
  <tableColumns count="2">
    <tableColumn id="1" xr3:uid="{00000000-0010-0000-0500-000001000000}" name="Measure Category"/>
    <tableColumn id="2" xr3:uid="{00000000-0010-0000-0500-000002000000}" name="Average energy consumption reduction in the category (%)" dataDxfId="33" dataCellStyle="Percent"/>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D81:F83" totalsRowShown="0" headerRowDxfId="32" dataDxfId="31">
  <autoFilter ref="D81:F83" xr:uid="{00000000-0009-0000-0100-000007000000}"/>
  <tableColumns count="3">
    <tableColumn id="1" xr3:uid="{00000000-0010-0000-0600-000001000000}" name="Measure Category" dataDxfId="30" dataCellStyle="bpm_h3"/>
    <tableColumn id="2" xr3:uid="{00000000-0010-0000-0600-000002000000}" name="Pre-fuel switch furnace efficiency (%)" dataDxfId="29" dataCellStyle="Percent"/>
    <tableColumn id="3" xr3:uid="{00000000-0010-0000-0600-000003000000}" name="Post-fuel switch heat pump efficiency (%)" dataDxfId="28" dataCellStyle="Percen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Heating_System_Stock" displayName="Heating_System_Stock" ref="D38:O44" totalsRowShown="0" headerRowDxfId="27" dataDxfId="26">
  <autoFilter ref="D38:O44" xr:uid="{00000000-0009-0000-0100-000008000000}"/>
  <tableColumns count="12">
    <tableColumn id="1" xr3:uid="{00000000-0010-0000-0700-000001000000}" name="Heating system type" dataDxfId="25"/>
    <tableColumn id="2" xr3:uid="{00000000-0010-0000-0700-000002000000}" name="BC" dataDxfId="24"/>
    <tableColumn id="3" xr3:uid="{00000000-0010-0000-0700-000003000000}" name="AB" dataDxfId="23"/>
    <tableColumn id="4" xr3:uid="{00000000-0010-0000-0700-000004000000}" name="SK" dataDxfId="22"/>
    <tableColumn id="5" xr3:uid="{00000000-0010-0000-0700-000005000000}" name="MB" dataDxfId="21"/>
    <tableColumn id="6" xr3:uid="{00000000-0010-0000-0700-000006000000}" name="ON" dataDxfId="20"/>
    <tableColumn id="7" xr3:uid="{00000000-0010-0000-0700-000007000000}" name="QC" dataDxfId="19"/>
    <tableColumn id="8" xr3:uid="{00000000-0010-0000-0700-000008000000}" name="NB" dataDxfId="18"/>
    <tableColumn id="9" xr3:uid="{00000000-0010-0000-0700-000009000000}" name="NS" dataDxfId="17"/>
    <tableColumn id="10" xr3:uid="{00000000-0010-0000-0700-00000A000000}" name="NL" dataDxfId="16"/>
    <tableColumn id="11" xr3:uid="{00000000-0010-0000-0700-00000B000000}" name="PE" dataDxfId="15"/>
    <tableColumn id="12" xr3:uid="{00000000-0010-0000-0700-00000C000000}" name="Tr" dataDxfId="1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B_Fuelswitchproportion" displayName="TB_Fuelswitchproportion" ref="D46:O48" totalsRowShown="0" headerRowDxfId="13" dataDxfId="12" dataCellStyle="Percent">
  <autoFilter ref="D46:O48" xr:uid="{00000000-0009-0000-0100-000009000000}"/>
  <tableColumns count="12">
    <tableColumn id="1" xr3:uid="{00000000-0010-0000-0800-000001000000}" name="Numerator" dataDxfId="11"/>
    <tableColumn id="2" xr3:uid="{00000000-0010-0000-0800-000002000000}" name="BC" dataDxfId="10" dataCellStyle="Percent">
      <calculatedColumnFormula>E39/SUM(E$39:E$40)</calculatedColumnFormula>
    </tableColumn>
    <tableColumn id="3" xr3:uid="{00000000-0010-0000-0800-000003000000}" name="AB" dataDxfId="9" dataCellStyle="Percent">
      <calculatedColumnFormula>F39/SUM(F$39:F$40)</calculatedColumnFormula>
    </tableColumn>
    <tableColumn id="4" xr3:uid="{00000000-0010-0000-0800-000004000000}" name="SK" dataDxfId="8" dataCellStyle="Percent">
      <calculatedColumnFormula>G39/SUM(G$39:G$40)</calculatedColumnFormula>
    </tableColumn>
    <tableColumn id="5" xr3:uid="{00000000-0010-0000-0800-000005000000}" name="MB" dataDxfId="7" dataCellStyle="Percent">
      <calculatedColumnFormula>H39/SUM(H$39:H$40)</calculatedColumnFormula>
    </tableColumn>
    <tableColumn id="6" xr3:uid="{00000000-0010-0000-0800-000006000000}" name="ON" dataDxfId="6" dataCellStyle="Percent">
      <calculatedColumnFormula>I39/SUM(I$39:I$40)</calculatedColumnFormula>
    </tableColumn>
    <tableColumn id="7" xr3:uid="{00000000-0010-0000-0800-000007000000}" name="QC" dataDxfId="5" dataCellStyle="Percent">
      <calculatedColumnFormula>J39/SUM(J$39:J$40)</calculatedColumnFormula>
    </tableColumn>
    <tableColumn id="8" xr3:uid="{00000000-0010-0000-0800-000008000000}" name="NB" dataDxfId="4" dataCellStyle="Percent">
      <calculatedColumnFormula>K39/SUM(K$39:K$40)</calculatedColumnFormula>
    </tableColumn>
    <tableColumn id="9" xr3:uid="{00000000-0010-0000-0800-000009000000}" name="NS" dataDxfId="3" dataCellStyle="Percent">
      <calculatedColumnFormula>L39/SUM(L$39:L$40)</calculatedColumnFormula>
    </tableColumn>
    <tableColumn id="10" xr3:uid="{00000000-0010-0000-0800-00000A000000}" name="NL" dataDxfId="2" dataCellStyle="Percent">
      <calculatedColumnFormula>M39/SUM(M$39:M$40)</calculatedColumnFormula>
    </tableColumn>
    <tableColumn id="11" xr3:uid="{00000000-0010-0000-0800-00000B000000}" name="PE" dataDxfId="1" dataCellStyle="Percent">
      <calculatedColumnFormula>N39/SUM(N$39:N$40)</calculatedColumnFormula>
    </tableColumn>
    <tableColumn id="12" xr3:uid="{00000000-0010-0000-0800-00000C000000}" name="Tr" dataDxfId="0" dataCellStyle="Percent">
      <calculatedColumnFormula>O39/SUM(O$39:O$40)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3-23T21:30:52.33" personId="{6B245315-8F34-454A-97FE-8E60141FE7EB}" id="{83C208B2-6611-4077-89DD-87C9AC18DD26}">
    <text>Hide &amp; password protect - for FCM internal only</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0-03-23T21:30:52.33" personId="{6B245315-8F34-454A-97FE-8E60141FE7EB}" id="{83C208B2-6611-4078-89DD-87C9AC18DD26}">
    <text>Hide &amp; password protect - for FCM internal only</text>
  </threadedComment>
</ThreadedComments>
</file>

<file path=xl/threadedComments/threadedComment3.xml><?xml version="1.0" encoding="utf-8"?>
<ThreadedComments xmlns="http://schemas.microsoft.com/office/spreadsheetml/2018/threadedcomments" xmlns:x="http://schemas.openxmlformats.org/spreadsheetml/2006/main">
  <threadedComment ref="A1" dT="2020-03-23T21:31:03.38" personId="{6B245315-8F34-454A-97FE-8E60141FE7EB}" id="{0B1902F6-DA4F-4390-A2F8-9E48D108E87E}">
    <text>Hide &amp; password protect - for FCM internal only</text>
  </threadedComment>
  <threadedComment ref="B2" dT="2020-03-21T03:47:13.95" personId="{6B245315-8F34-454A-97FE-8E60141FE7EB}" id="{D7C7FB7D-4106-456F-ACF4-680725070536}">
    <text>Source: http://oee.nrcan.gc.ca/corporate/statistics/neud/dpa/menus/trends/comprehensive_tables/list.cfm &amp; http://data.ec.gc.ca/data/substances/monitor/canada-s-official-greenhouse-gas-inventory/E-Tables-Electricity-Canada-Provinces-Territories/?lang=en</text>
  </threadedComment>
  <threadedComment ref="D43" dT="2020-03-23T20:15:51.50" personId="{6B245315-8F34-454A-97FE-8E60141FE7EB}" id="{EA903C52-7E4C-4B17-BC64-392F41FFA740}">
    <text>Includes wood/electric, wood/heating oil, natural gas/electric, heating oil/electric dual systems</text>
  </threadedComment>
  <threadedComment ref="B50" dT="2020-03-21T03:47:13.95" personId="{6B245315-8F34-454A-97FE-8E60141FE7EB}" id="{AD876204-CED4-455B-BD14-843D4B2F42D6}">
    <text>Source: http://oee.nrcan.gc.ca/corporate/statistics/neud/dpa/menus/trends/comprehensive_tables/list.cfm &amp; http://data.ec.gc.ca/data/substances/monitor/canada-s-official-greenhouse-gas-inventory/E-Tables-Electricity-Canada-Provinces-Territories/?lang=en</text>
  </threadedComment>
  <threadedComment ref="D71" dT="2020-03-23T12:58:44.52" personId="{6B245315-8F34-454A-97FE-8E60141FE7EB}" id="{DA5305A4-E61D-423F-AA5B-85BB1530E19E}">
    <text>Source: FCM Energy Roadmap. Technology Factsheet: Enveloppe. 2019.</text>
  </threadedComment>
  <threadedComment ref="D72" dT="2020-03-23T19:35:22.62" personId="{6B245315-8F34-454A-97FE-8E60141FE7EB}" id="{F73B4F59-A484-437A-8866-C210C853B19C}">
    <text>Source: US Department of Energy. Furnaces &amp; Boilers. Retrieved 23.03.2020 from: https://www.energy.gov/energysaver/home-heating-systems/furnaces-and-boilers</text>
  </threadedComment>
  <threadedComment ref="D73" dT="2020-03-23T19:39:32.46" personId="{6B245315-8F34-454A-97FE-8E60141FE7EB}" id="{C79F7250-C216-4633-815F-B796D9C56FAC}">
    <text>Source: US Department of Energy. Home Cooling Energy Saver 101. Retrieved 23.03.2020 from: https://www.energy.gov/articles/energy-saver-101-infographic-home-cooling</text>
  </threadedComment>
  <threadedComment ref="D74" dT="2020-03-23T12:58:23.86" personId="{6B245315-8F34-454A-97FE-8E60141FE7EB}" id="{FD92E49D-78E8-40DC-8283-389233F4D5F4}">
    <text>Source: FCM Energy Roadmap. Technology Factsheet: Lighting &amp; Plug Loads. 2019.</text>
  </threadedComment>
  <threadedComment ref="D75" dT="2020-03-23T13:38:59.28" personId="{6B245315-8F34-454A-97FE-8E60141FE7EB}" id="{04D87714-EBAA-46C2-ADCC-C425EE46C6DC}">
    <text>Source: FCM Energy Roadmap. Technology Factsheet: Water Heating. 2019.</text>
  </threadedComment>
  <threadedComment ref="D77" dT="2020-03-23T12:41:43.26" personId="{6B245315-8F34-454A-97FE-8E60141FE7EB}" id="{5C970FFF-64C3-461B-95E0-13ACB05E9BCB}">
    <text>Source: FCM Energy Roadmap. Technology Factsheet: Water Heating. 2019.</text>
  </threadedComment>
  <threadedComment ref="D82" dT="2020-03-23T12:37:38.79" personId="{6B245315-8F34-454A-97FE-8E60141FE7EB}" id="{B20D95D9-B81A-4A01-BF57-6EC6A49272E0}">
    <text>Source: NRCan. Energy Efficiency Regulations: Gas furnaces. Retrieved 23.03.2020 from: https://www.nrcan.gc.ca/energy-efficiency/energy-efficiency-regulations/guide-canadas-energy-efficiency/gas-furnaces/6879</text>
  </threadedComment>
  <threadedComment ref="D83" dT="2020-03-23T19:27:22.30" personId="{6B245315-8F34-454A-97FE-8E60141FE7EB}" id="{B07030A1-D051-4AA8-A540-687C39982540}">
    <text>NRCan. Energy Efficiency Regulations: Oil-fired furnaces. Retrieved 23.03.2020 from: https://www.nrcan.gc.ca/energy-efficiency/energy-efficiency-regulations/guide-canadas-energy-efficiency-regulations/oil-fired-furnaces/6887</text>
  </threadedComment>
</ThreadedComments>
</file>

<file path=xl/worksheets/_rels/sheet10.xml.rels><?xml version="1.0" encoding="UTF-8" standalone="yes"?>
<Relationships xmlns="http://schemas.openxmlformats.org/package/2006/relationships"><Relationship Id="rId1" Type="http://schemas.openxmlformats.org/officeDocument/2006/relationships/hyperlink" Target="../../parrj/AppData/Local/parrj/AppData/Local/Microsoft/AppData/Local/Microsoft/kdesjardins/AppData/Local/Microsoft/Windows/INetCache/Content.Outlook/W0PGD0ZJ/Reporting%20Templates/Payment%20and%20Reporting%20Selection%20Table.docx" TargetMode="External"/></Relationships>
</file>

<file path=xl/worksheets/_rels/sheet1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microsoft.com/office/2017/10/relationships/threadedComment" Target="../threadedComments/threadedComment3.xml"/><Relationship Id="rId2" Type="http://schemas.openxmlformats.org/officeDocument/2006/relationships/table" Target="../tables/table1.xml"/><Relationship Id="rId1" Type="http://schemas.openxmlformats.org/officeDocument/2006/relationships/vmlDrawing" Target="../drawings/vmlDrawing3.vml"/><Relationship Id="rId6" Type="http://schemas.openxmlformats.org/officeDocument/2006/relationships/table" Target="../tables/table5.xml"/><Relationship Id="rId11" Type="http://schemas.openxmlformats.org/officeDocument/2006/relationships/comments" Target="../comments3.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G15"/>
  <sheetViews>
    <sheetView workbookViewId="0">
      <selection sqref="A1:C1"/>
    </sheetView>
  </sheetViews>
  <sheetFormatPr defaultColWidth="8.6640625" defaultRowHeight="14.4" x14ac:dyDescent="0.3"/>
  <cols>
    <col min="1" max="1" width="37.6640625" style="289" customWidth="1"/>
    <col min="2" max="3" width="47.6640625" style="289" customWidth="1"/>
    <col min="4" max="16384" width="8.6640625" style="289"/>
  </cols>
  <sheetData>
    <row r="1" spans="1:7" ht="30" customHeight="1" thickBot="1" x14ac:dyDescent="0.35">
      <c r="A1" s="596" t="s">
        <v>257</v>
      </c>
      <c r="B1" s="597"/>
      <c r="C1" s="598"/>
    </row>
    <row r="2" spans="1:7" ht="25.5" customHeight="1" x14ac:dyDescent="0.3">
      <c r="A2" s="599" t="s">
        <v>216</v>
      </c>
      <c r="B2" s="600"/>
      <c r="C2" s="601"/>
    </row>
    <row r="3" spans="1:7" ht="90" customHeight="1" x14ac:dyDescent="0.3">
      <c r="A3" s="602" t="s">
        <v>403</v>
      </c>
      <c r="B3" s="603"/>
      <c r="C3" s="603"/>
      <c r="G3" s="380"/>
    </row>
    <row r="4" spans="1:7" ht="36" customHeight="1" x14ac:dyDescent="0.3">
      <c r="A4" s="604" t="s">
        <v>215</v>
      </c>
      <c r="B4" s="605"/>
      <c r="C4" s="606"/>
    </row>
    <row r="5" spans="1:7" ht="39" customHeight="1" x14ac:dyDescent="0.3">
      <c r="A5" s="595" t="s">
        <v>266</v>
      </c>
      <c r="B5" s="590"/>
      <c r="C5" s="591"/>
    </row>
    <row r="6" spans="1:7" ht="53.25" customHeight="1" x14ac:dyDescent="0.3">
      <c r="A6" s="595" t="s">
        <v>214</v>
      </c>
      <c r="B6" s="590"/>
      <c r="C6" s="591"/>
    </row>
    <row r="7" spans="1:7" ht="34.950000000000003" customHeight="1" x14ac:dyDescent="0.3">
      <c r="A7" s="589" t="s">
        <v>213</v>
      </c>
      <c r="B7" s="590"/>
      <c r="C7" s="591"/>
    </row>
    <row r="8" spans="1:7" ht="38.25" customHeight="1" x14ac:dyDescent="0.3">
      <c r="A8" s="589" t="s">
        <v>212</v>
      </c>
      <c r="B8" s="590"/>
      <c r="C8" s="591"/>
    </row>
    <row r="9" spans="1:7" ht="26.25" customHeight="1" x14ac:dyDescent="0.3">
      <c r="A9" s="589" t="s">
        <v>211</v>
      </c>
      <c r="B9" s="590"/>
      <c r="C9" s="591"/>
    </row>
    <row r="10" spans="1:7" ht="40.5" customHeight="1" thickBot="1" x14ac:dyDescent="0.35">
      <c r="A10" s="592" t="s">
        <v>256</v>
      </c>
      <c r="B10" s="593"/>
      <c r="C10" s="594"/>
      <c r="E10" s="380"/>
    </row>
    <row r="14" spans="1:7" x14ac:dyDescent="0.3">
      <c r="A14" s="291"/>
      <c r="B14" s="290"/>
      <c r="C14" s="290"/>
    </row>
    <row r="15" spans="1:7" x14ac:dyDescent="0.3">
      <c r="A15" s="588"/>
      <c r="B15" s="588"/>
      <c r="C15" s="588"/>
    </row>
  </sheetData>
  <mergeCells count="11">
    <mergeCell ref="A6:C6"/>
    <mergeCell ref="A1:C1"/>
    <mergeCell ref="A2:C2"/>
    <mergeCell ref="A3:C3"/>
    <mergeCell ref="A4:C4"/>
    <mergeCell ref="A5:C5"/>
    <mergeCell ref="A15:C15"/>
    <mergeCell ref="A7:C7"/>
    <mergeCell ref="A8:C8"/>
    <mergeCell ref="A9:C9"/>
    <mergeCell ref="A10:C10"/>
  </mergeCells>
  <pageMargins left="0.7" right="0.7" top="0.75" bottom="0.75" header="0.3" footer="0.3"/>
  <pageSetup orientation="portrait"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0000"/>
  </sheetPr>
  <dimension ref="A1:H29"/>
  <sheetViews>
    <sheetView workbookViewId="0">
      <selection activeCell="K123" sqref="K123"/>
    </sheetView>
  </sheetViews>
  <sheetFormatPr defaultColWidth="9.109375" defaultRowHeight="14.4" x14ac:dyDescent="0.3"/>
  <cols>
    <col min="1" max="1" width="57.44140625" customWidth="1"/>
    <col min="2" max="3" width="18.88671875" customWidth="1"/>
    <col min="4" max="4" width="21.5546875" customWidth="1"/>
    <col min="5" max="5" width="18.88671875" customWidth="1"/>
    <col min="8" max="8" width="11.109375" customWidth="1"/>
  </cols>
  <sheetData>
    <row r="1" spans="1:8" ht="21.6" thickBot="1" x14ac:dyDescent="0.45">
      <c r="A1" s="742" t="s">
        <v>302</v>
      </c>
      <c r="B1" s="743"/>
      <c r="C1" s="743"/>
      <c r="D1" s="744"/>
    </row>
    <row r="2" spans="1:8" ht="31.8" thickBot="1" x14ac:dyDescent="0.35">
      <c r="A2" s="434" t="s">
        <v>303</v>
      </c>
      <c r="B2" s="745" t="s">
        <v>304</v>
      </c>
      <c r="C2" s="746"/>
      <c r="D2" s="435" t="s">
        <v>305</v>
      </c>
      <c r="E2" s="725" t="s">
        <v>306</v>
      </c>
      <c r="F2" s="726"/>
      <c r="G2" s="726"/>
      <c r="H2" s="726"/>
    </row>
    <row r="3" spans="1:8" ht="16.2" thickBot="1" x14ac:dyDescent="0.35">
      <c r="A3" s="436" t="s">
        <v>307</v>
      </c>
      <c r="B3" s="727" t="s">
        <v>308</v>
      </c>
      <c r="C3" s="728"/>
      <c r="D3" s="733" t="s">
        <v>309</v>
      </c>
    </row>
    <row r="4" spans="1:8" ht="15" hidden="1" thickBot="1" x14ac:dyDescent="0.35">
      <c r="A4" s="437"/>
      <c r="B4" s="729"/>
      <c r="C4" s="730"/>
      <c r="D4" s="734"/>
    </row>
    <row r="5" spans="1:8" x14ac:dyDescent="0.3">
      <c r="A5" s="438" t="s">
        <v>310</v>
      </c>
      <c r="B5" s="729"/>
      <c r="C5" s="730"/>
      <c r="D5" s="734"/>
    </row>
    <row r="6" spans="1:8" ht="15" thickBot="1" x14ac:dyDescent="0.35">
      <c r="A6" s="439" t="s">
        <v>311</v>
      </c>
      <c r="B6" s="731"/>
      <c r="C6" s="732"/>
      <c r="D6" s="735"/>
    </row>
    <row r="7" spans="1:8" ht="47.4" thickBot="1" x14ac:dyDescent="0.35">
      <c r="A7" s="434" t="s">
        <v>303</v>
      </c>
      <c r="B7" s="440" t="s">
        <v>312</v>
      </c>
      <c r="C7" s="441" t="s">
        <v>313</v>
      </c>
      <c r="D7" s="441" t="s">
        <v>314</v>
      </c>
    </row>
    <row r="8" spans="1:8" ht="16.2" thickBot="1" x14ac:dyDescent="0.35">
      <c r="A8" s="436" t="s">
        <v>315</v>
      </c>
      <c r="B8" s="736" t="s">
        <v>316</v>
      </c>
      <c r="C8" s="736" t="s">
        <v>317</v>
      </c>
      <c r="D8" s="738" t="s">
        <v>318</v>
      </c>
    </row>
    <row r="9" spans="1:8" x14ac:dyDescent="0.3">
      <c r="A9" s="438" t="s">
        <v>319</v>
      </c>
      <c r="B9" s="737"/>
      <c r="C9" s="737"/>
      <c r="D9" s="739"/>
    </row>
    <row r="10" spans="1:8" x14ac:dyDescent="0.3">
      <c r="A10" s="438" t="s">
        <v>320</v>
      </c>
      <c r="B10" s="737"/>
      <c r="C10" s="737"/>
      <c r="D10" s="739"/>
    </row>
    <row r="11" spans="1:8" ht="43.2" x14ac:dyDescent="0.3">
      <c r="A11" s="438" t="s">
        <v>321</v>
      </c>
      <c r="B11" s="737"/>
      <c r="C11" s="737"/>
      <c r="D11" s="739"/>
    </row>
    <row r="12" spans="1:8" x14ac:dyDescent="0.3">
      <c r="A12" s="438" t="s">
        <v>322</v>
      </c>
      <c r="B12" s="737"/>
      <c r="C12" s="737"/>
      <c r="D12" s="739"/>
    </row>
    <row r="13" spans="1:8" x14ac:dyDescent="0.3">
      <c r="A13" s="442" t="s">
        <v>323</v>
      </c>
      <c r="B13" s="737"/>
      <c r="C13" s="737"/>
      <c r="D13" s="739"/>
    </row>
    <row r="14" spans="1:8" x14ac:dyDescent="0.3">
      <c r="A14" s="442" t="s">
        <v>324</v>
      </c>
      <c r="B14" s="737"/>
      <c r="C14" s="737"/>
      <c r="D14" s="739"/>
    </row>
    <row r="15" spans="1:8" x14ac:dyDescent="0.3">
      <c r="A15" s="442" t="s">
        <v>325</v>
      </c>
      <c r="B15" s="737"/>
      <c r="C15" s="737"/>
      <c r="D15" s="739"/>
    </row>
    <row r="16" spans="1:8" ht="43.8" thickBot="1" x14ac:dyDescent="0.35">
      <c r="A16" s="438" t="s">
        <v>326</v>
      </c>
      <c r="B16" s="737"/>
      <c r="C16" s="737"/>
      <c r="D16" s="739"/>
    </row>
    <row r="17" spans="1:4" ht="16.2" thickBot="1" x14ac:dyDescent="0.35">
      <c r="A17" s="443" t="s">
        <v>327</v>
      </c>
      <c r="B17" s="728" t="s">
        <v>316</v>
      </c>
      <c r="C17" s="736" t="s">
        <v>317</v>
      </c>
      <c r="D17" s="738" t="s">
        <v>328</v>
      </c>
    </row>
    <row r="18" spans="1:4" x14ac:dyDescent="0.3">
      <c r="A18" s="444" t="s">
        <v>329</v>
      </c>
      <c r="B18" s="737"/>
      <c r="C18" s="737"/>
      <c r="D18" s="739"/>
    </row>
    <row r="19" spans="1:4" x14ac:dyDescent="0.3">
      <c r="A19" s="444" t="s">
        <v>330</v>
      </c>
      <c r="B19" s="737"/>
      <c r="C19" s="737"/>
      <c r="D19" s="739"/>
    </row>
    <row r="20" spans="1:4" ht="43.2" x14ac:dyDescent="0.3">
      <c r="A20" s="438" t="s">
        <v>331</v>
      </c>
      <c r="B20" s="737"/>
      <c r="C20" s="737"/>
      <c r="D20" s="739"/>
    </row>
    <row r="21" spans="1:4" x14ac:dyDescent="0.3">
      <c r="A21" s="438" t="s">
        <v>322</v>
      </c>
      <c r="B21" s="737"/>
      <c r="C21" s="737"/>
      <c r="D21" s="739"/>
    </row>
    <row r="22" spans="1:4" x14ac:dyDescent="0.3">
      <c r="A22" s="442" t="s">
        <v>332</v>
      </c>
      <c r="B22" s="737"/>
      <c r="C22" s="737"/>
      <c r="D22" s="739"/>
    </row>
    <row r="23" spans="1:4" x14ac:dyDescent="0.3">
      <c r="A23" s="442" t="s">
        <v>324</v>
      </c>
      <c r="B23" s="737"/>
      <c r="C23" s="737"/>
      <c r="D23" s="739"/>
    </row>
    <row r="24" spans="1:4" x14ac:dyDescent="0.3">
      <c r="A24" s="442" t="s">
        <v>325</v>
      </c>
      <c r="B24" s="737"/>
      <c r="C24" s="737"/>
      <c r="D24" s="739"/>
    </row>
    <row r="25" spans="1:4" x14ac:dyDescent="0.3">
      <c r="A25" s="438" t="s">
        <v>333</v>
      </c>
      <c r="B25" s="737"/>
      <c r="C25" s="737"/>
      <c r="D25" s="739"/>
    </row>
    <row r="26" spans="1:4" x14ac:dyDescent="0.3">
      <c r="A26" s="438" t="s">
        <v>334</v>
      </c>
      <c r="B26" s="737"/>
      <c r="C26" s="737"/>
      <c r="D26" s="739"/>
    </row>
    <row r="27" spans="1:4" ht="43.8" thickBot="1" x14ac:dyDescent="0.35">
      <c r="A27" s="439" t="s">
        <v>335</v>
      </c>
      <c r="B27" s="740"/>
      <c r="C27" s="740"/>
      <c r="D27" s="741"/>
    </row>
    <row r="28" spans="1:4" x14ac:dyDescent="0.3">
      <c r="A28" s="445"/>
    </row>
    <row r="29" spans="1:4" x14ac:dyDescent="0.3">
      <c r="A29" s="445"/>
    </row>
  </sheetData>
  <mergeCells count="11">
    <mergeCell ref="B17:B27"/>
    <mergeCell ref="C17:C27"/>
    <mergeCell ref="D17:D27"/>
    <mergeCell ref="A1:D1"/>
    <mergeCell ref="B2:C2"/>
    <mergeCell ref="E2:H2"/>
    <mergeCell ref="B3:C6"/>
    <mergeCell ref="D3:D6"/>
    <mergeCell ref="B8:B16"/>
    <mergeCell ref="C8:C16"/>
    <mergeCell ref="D8:D16"/>
  </mergeCells>
  <hyperlinks>
    <hyperlink ref="E2:H2" r:id="rId1" display="[EXAMPLE] Project Officer to insert customized table"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FF0000"/>
  </sheetPr>
  <dimension ref="A1:AE145"/>
  <sheetViews>
    <sheetView workbookViewId="0"/>
  </sheetViews>
  <sheetFormatPr defaultColWidth="9.109375" defaultRowHeight="14.4" x14ac:dyDescent="0.3"/>
  <cols>
    <col min="1" max="1" width="57.88671875" style="165" customWidth="1"/>
    <col min="2" max="2" width="14.6640625" style="165" customWidth="1"/>
    <col min="3" max="3" width="14.88671875" style="165" customWidth="1"/>
    <col min="4" max="4" width="21.6640625" style="165" customWidth="1"/>
    <col min="5" max="5" width="18" style="175" bestFit="1" customWidth="1"/>
    <col min="6" max="6" width="19.44140625" style="175" bestFit="1" customWidth="1"/>
    <col min="7" max="7" width="21.44140625" style="175" customWidth="1"/>
    <col min="8" max="8" width="2.6640625" style="175" customWidth="1"/>
    <col min="9" max="10" width="17.88671875" style="175" customWidth="1"/>
    <col min="11" max="11" width="18.6640625" style="175" customWidth="1"/>
    <col min="12" max="13" width="55.6640625" style="175" customWidth="1"/>
    <col min="14" max="14" width="18.44140625" style="175" customWidth="1"/>
    <col min="15" max="15" width="15.33203125" style="175" customWidth="1"/>
    <col min="16" max="16" width="14.6640625" style="175" customWidth="1"/>
    <col min="17" max="16384" width="9.109375" style="175"/>
  </cols>
  <sheetData>
    <row r="1" spans="1:31" ht="30.15" customHeight="1" thickBot="1" x14ac:dyDescent="0.35">
      <c r="A1" s="446" t="s">
        <v>336</v>
      </c>
      <c r="B1" s="447"/>
      <c r="C1" s="447"/>
      <c r="D1" s="447"/>
      <c r="E1" s="447"/>
      <c r="F1" s="447"/>
      <c r="G1" s="447"/>
      <c r="H1" s="447"/>
      <c r="I1" s="447"/>
      <c r="J1" s="447"/>
      <c r="K1" s="448"/>
      <c r="L1" s="448"/>
      <c r="M1" s="448"/>
    </row>
    <row r="2" spans="1:31" ht="16.5" customHeight="1" thickBot="1" x14ac:dyDescent="0.35">
      <c r="A2" s="449" t="s">
        <v>337</v>
      </c>
      <c r="B2" s="562" t="str">
        <f>'Budget - Work Plan'!B2</f>
        <v xml:space="preserve">Town of Cobourg </v>
      </c>
      <c r="C2" s="450"/>
      <c r="D2" s="450"/>
      <c r="E2" s="450"/>
      <c r="F2" s="450"/>
      <c r="G2" s="554" t="s">
        <v>338</v>
      </c>
      <c r="H2" s="555"/>
      <c r="I2" s="555"/>
      <c r="J2" s="556"/>
      <c r="K2" s="553"/>
      <c r="L2" s="451"/>
      <c r="M2" s="452"/>
    </row>
    <row r="3" spans="1:31" ht="15" thickBot="1" x14ac:dyDescent="0.35">
      <c r="A3" s="453" t="s">
        <v>166</v>
      </c>
      <c r="B3" s="563" t="str">
        <f>'Budget - Work Plan'!B3</f>
        <v>Town of Cobourg – Feasibility Study – Community Efficiency Financing</v>
      </c>
      <c r="C3" s="454"/>
      <c r="D3" s="454"/>
      <c r="E3" s="454"/>
      <c r="F3" s="454"/>
      <c r="G3" s="454"/>
      <c r="H3" s="450"/>
      <c r="I3" s="454"/>
      <c r="J3" s="454"/>
      <c r="K3" s="455"/>
      <c r="L3" s="455"/>
      <c r="M3" s="455"/>
    </row>
    <row r="4" spans="1:31" ht="24.75" customHeight="1" thickBot="1" x14ac:dyDescent="0.35">
      <c r="A4" s="456" t="s">
        <v>339</v>
      </c>
      <c r="B4" s="457"/>
      <c r="C4" s="457"/>
      <c r="D4" s="457"/>
      <c r="E4" s="457"/>
      <c r="F4" s="457"/>
      <c r="G4" s="458"/>
      <c r="H4" s="459"/>
      <c r="I4" s="460" t="s">
        <v>340</v>
      </c>
      <c r="J4" s="457"/>
      <c r="K4" s="457"/>
      <c r="L4" s="457"/>
      <c r="M4" s="458"/>
    </row>
    <row r="5" spans="1:31" ht="51" customHeight="1" thickBot="1" x14ac:dyDescent="0.35">
      <c r="A5" s="461" t="s">
        <v>164</v>
      </c>
      <c r="B5" s="462" t="s">
        <v>163</v>
      </c>
      <c r="C5" s="463" t="s">
        <v>162</v>
      </c>
      <c r="D5" s="462" t="s">
        <v>341</v>
      </c>
      <c r="E5" s="464" t="s">
        <v>342</v>
      </c>
      <c r="F5" s="464" t="s">
        <v>159</v>
      </c>
      <c r="G5" s="465" t="s">
        <v>343</v>
      </c>
      <c r="H5" s="466"/>
      <c r="I5" s="467" t="s">
        <v>344</v>
      </c>
      <c r="J5" s="468" t="s">
        <v>345</v>
      </c>
      <c r="K5" s="468" t="s">
        <v>346</v>
      </c>
      <c r="L5" s="468" t="s">
        <v>347</v>
      </c>
      <c r="M5" s="468" t="s">
        <v>348</v>
      </c>
      <c r="W5" s="469"/>
      <c r="X5" s="470"/>
      <c r="Y5" s="470"/>
      <c r="Z5" s="470"/>
      <c r="AA5" s="470"/>
      <c r="AB5" s="470"/>
      <c r="AC5" s="470"/>
      <c r="AD5" s="470"/>
      <c r="AE5" s="470"/>
    </row>
    <row r="6" spans="1:31" ht="15" customHeight="1" thickBot="1" x14ac:dyDescent="0.35">
      <c r="A6" s="471" t="str">
        <f>'Budget - Work Plan'!A5</f>
        <v>Milestone 1: Draft Application to FCM.</v>
      </c>
      <c r="B6" s="472">
        <f>'Budget - Work Plan'!B5</f>
        <v>44119</v>
      </c>
      <c r="C6" s="472">
        <f>'Budget - Work Plan'!C5</f>
        <v>44133</v>
      </c>
      <c r="D6" s="473"/>
      <c r="E6" s="474"/>
      <c r="F6" s="474"/>
      <c r="G6" s="474"/>
      <c r="H6" s="475"/>
      <c r="I6" s="476"/>
      <c r="J6" s="476"/>
      <c r="K6" s="476"/>
      <c r="L6" s="476"/>
      <c r="M6" s="477"/>
    </row>
    <row r="7" spans="1:31" ht="30" customHeight="1" thickBot="1" x14ac:dyDescent="0.35">
      <c r="A7" s="478" t="str">
        <f>'Budget - Work Plan'!A6</f>
        <v xml:space="preserve">Milestone description: Costs to write the GMF application incurred up to 90 days prior to application receipt date. </v>
      </c>
      <c r="B7" s="479"/>
      <c r="C7" s="479"/>
      <c r="D7" s="479"/>
      <c r="E7" s="479"/>
      <c r="F7" s="479"/>
      <c r="G7" s="479"/>
      <c r="H7" s="480"/>
      <c r="I7" s="481"/>
      <c r="J7" s="481"/>
      <c r="K7" s="481"/>
      <c r="L7" s="481"/>
      <c r="M7" s="482"/>
    </row>
    <row r="8" spans="1:31" x14ac:dyDescent="0.3">
      <c r="A8" s="483" t="str">
        <f>'Budget - Work Plan'!A7:C7</f>
        <v>Grant Writer pay/benefits for time required to draft  full application.</v>
      </c>
      <c r="B8" s="484"/>
      <c r="C8" s="485"/>
      <c r="D8" s="486" t="str">
        <f>'Budget - Work Plan'!D7</f>
        <v>(1) Pre-application</v>
      </c>
      <c r="E8" s="487">
        <f>'Budget - Work Plan'!E7</f>
        <v>3500</v>
      </c>
      <c r="F8" s="487">
        <f>'Budget - Work Plan'!F7</f>
        <v>0</v>
      </c>
      <c r="G8" s="488">
        <f>'Budget - Work Plan'!G7</f>
        <v>3500</v>
      </c>
      <c r="H8" s="489"/>
      <c r="I8" s="550"/>
      <c r="J8" s="551"/>
      <c r="K8" s="490">
        <f>I8+J8</f>
        <v>0</v>
      </c>
      <c r="L8" s="552"/>
      <c r="M8" s="491"/>
    </row>
    <row r="9" spans="1:31" x14ac:dyDescent="0.3">
      <c r="A9" s="483" t="e">
        <f>_xlfn.SINGLE('Budget - Work Plan'!#REF!)</f>
        <v>#REF!</v>
      </c>
      <c r="B9" s="484"/>
      <c r="C9" s="485"/>
      <c r="D9" s="486" t="e">
        <f>'Budget - Work Plan'!#REF!</f>
        <v>#REF!</v>
      </c>
      <c r="E9" s="487" t="e">
        <f>'Budget - Work Plan'!#REF!</f>
        <v>#REF!</v>
      </c>
      <c r="F9" s="487" t="e">
        <f>'Budget - Work Plan'!#REF!</f>
        <v>#REF!</v>
      </c>
      <c r="G9" s="488" t="e">
        <f>'Budget - Work Plan'!#REF!</f>
        <v>#REF!</v>
      </c>
      <c r="H9" s="489"/>
      <c r="I9" s="550"/>
      <c r="J9" s="551"/>
      <c r="K9" s="490">
        <f t="shared" ref="K9:K23" si="0">I9+J9</f>
        <v>0</v>
      </c>
      <c r="L9" s="552"/>
      <c r="M9" s="491"/>
    </row>
    <row r="10" spans="1:31" x14ac:dyDescent="0.3">
      <c r="A10" s="483" t="e">
        <f>_xlfn.SINGLE('Budget - Work Plan'!#REF!)</f>
        <v>#REF!</v>
      </c>
      <c r="B10" s="484"/>
      <c r="C10" s="485"/>
      <c r="D10" s="486" t="e">
        <f>'Budget - Work Plan'!#REF!</f>
        <v>#REF!</v>
      </c>
      <c r="E10" s="487" t="e">
        <f>'Budget - Work Plan'!#REF!</f>
        <v>#REF!</v>
      </c>
      <c r="F10" s="487" t="e">
        <f>'Budget - Work Plan'!#REF!</f>
        <v>#REF!</v>
      </c>
      <c r="G10" s="488" t="e">
        <f>'Budget - Work Plan'!#REF!</f>
        <v>#REF!</v>
      </c>
      <c r="H10" s="489"/>
      <c r="I10" s="550"/>
      <c r="J10" s="551"/>
      <c r="K10" s="490">
        <f t="shared" si="0"/>
        <v>0</v>
      </c>
      <c r="L10" s="552"/>
      <c r="M10" s="491"/>
    </row>
    <row r="11" spans="1:31" x14ac:dyDescent="0.3">
      <c r="A11" s="483" t="e">
        <f>_xlfn.SINGLE('Budget - Work Plan'!#REF!)</f>
        <v>#REF!</v>
      </c>
      <c r="B11" s="484"/>
      <c r="C11" s="485"/>
      <c r="D11" s="486" t="e">
        <f>'Budget - Work Plan'!#REF!</f>
        <v>#REF!</v>
      </c>
      <c r="E11" s="487" t="e">
        <f>'Budget - Work Plan'!#REF!</f>
        <v>#REF!</v>
      </c>
      <c r="F11" s="487" t="e">
        <f>'Budget - Work Plan'!#REF!</f>
        <v>#REF!</v>
      </c>
      <c r="G11" s="488" t="e">
        <f>'Budget - Work Plan'!#REF!</f>
        <v>#REF!</v>
      </c>
      <c r="H11" s="489"/>
      <c r="I11" s="550"/>
      <c r="J11" s="551"/>
      <c r="K11" s="490">
        <f t="shared" si="0"/>
        <v>0</v>
      </c>
      <c r="L11" s="552"/>
      <c r="M11" s="491"/>
    </row>
    <row r="12" spans="1:31" x14ac:dyDescent="0.3">
      <c r="A12" s="483" t="e">
        <f>_xlfn.SINGLE('Budget - Work Plan'!#REF!)</f>
        <v>#REF!</v>
      </c>
      <c r="B12" s="484"/>
      <c r="C12" s="485"/>
      <c r="D12" s="486" t="e">
        <f>'Budget - Work Plan'!#REF!</f>
        <v>#REF!</v>
      </c>
      <c r="E12" s="487" t="e">
        <f>'Budget - Work Plan'!#REF!</f>
        <v>#REF!</v>
      </c>
      <c r="F12" s="487" t="e">
        <f>'Budget - Work Plan'!#REF!</f>
        <v>#REF!</v>
      </c>
      <c r="G12" s="488" t="e">
        <f>'Budget - Work Plan'!#REF!</f>
        <v>#REF!</v>
      </c>
      <c r="H12" s="489"/>
      <c r="I12" s="550"/>
      <c r="J12" s="551"/>
      <c r="K12" s="490">
        <f t="shared" si="0"/>
        <v>0</v>
      </c>
      <c r="L12" s="552"/>
      <c r="M12" s="491"/>
    </row>
    <row r="13" spans="1:31" x14ac:dyDescent="0.3">
      <c r="A13" s="483" t="e">
        <f>_xlfn.SINGLE('Budget - Work Plan'!#REF!)</f>
        <v>#REF!</v>
      </c>
      <c r="B13" s="484"/>
      <c r="C13" s="485"/>
      <c r="D13" s="486" t="e">
        <f>'Budget - Work Plan'!#REF!</f>
        <v>#REF!</v>
      </c>
      <c r="E13" s="487" t="e">
        <f>'Budget - Work Plan'!#REF!</f>
        <v>#REF!</v>
      </c>
      <c r="F13" s="487" t="e">
        <f>'Budget - Work Plan'!#REF!</f>
        <v>#REF!</v>
      </c>
      <c r="G13" s="488" t="e">
        <f>'Budget - Work Plan'!#REF!</f>
        <v>#REF!</v>
      </c>
      <c r="H13" s="489"/>
      <c r="I13" s="550"/>
      <c r="J13" s="551"/>
      <c r="K13" s="490">
        <f t="shared" si="0"/>
        <v>0</v>
      </c>
      <c r="L13" s="552"/>
      <c r="M13" s="491"/>
    </row>
    <row r="14" spans="1:31" x14ac:dyDescent="0.3">
      <c r="A14" s="483" t="e">
        <f>_xlfn.SINGLE('Budget - Work Plan'!#REF!)</f>
        <v>#REF!</v>
      </c>
      <c r="B14" s="484"/>
      <c r="C14" s="485"/>
      <c r="D14" s="486" t="e">
        <f>'Budget - Work Plan'!#REF!</f>
        <v>#REF!</v>
      </c>
      <c r="E14" s="487" t="e">
        <f>'Budget - Work Plan'!#REF!</f>
        <v>#REF!</v>
      </c>
      <c r="F14" s="487" t="e">
        <f>'Budget - Work Plan'!#REF!</f>
        <v>#REF!</v>
      </c>
      <c r="G14" s="488" t="e">
        <f>'Budget - Work Plan'!#REF!</f>
        <v>#REF!</v>
      </c>
      <c r="H14" s="489"/>
      <c r="I14" s="550"/>
      <c r="J14" s="551"/>
      <c r="K14" s="490">
        <f t="shared" si="0"/>
        <v>0</v>
      </c>
      <c r="L14" s="552"/>
      <c r="M14" s="491"/>
    </row>
    <row r="15" spans="1:31" x14ac:dyDescent="0.3">
      <c r="A15" s="483" t="e">
        <f>_xlfn.SINGLE('Budget - Work Plan'!#REF!)</f>
        <v>#REF!</v>
      </c>
      <c r="B15" s="484"/>
      <c r="C15" s="485"/>
      <c r="D15" s="486" t="e">
        <f>'Budget - Work Plan'!#REF!</f>
        <v>#REF!</v>
      </c>
      <c r="E15" s="487" t="e">
        <f>'Budget - Work Plan'!#REF!</f>
        <v>#REF!</v>
      </c>
      <c r="F15" s="487" t="e">
        <f>'Budget - Work Plan'!#REF!</f>
        <v>#REF!</v>
      </c>
      <c r="G15" s="488" t="e">
        <f>'Budget - Work Plan'!#REF!</f>
        <v>#REF!</v>
      </c>
      <c r="H15" s="489"/>
      <c r="I15" s="550"/>
      <c r="J15" s="551"/>
      <c r="K15" s="490">
        <f t="shared" si="0"/>
        <v>0</v>
      </c>
      <c r="L15" s="552"/>
      <c r="M15" s="491"/>
    </row>
    <row r="16" spans="1:31" ht="15" customHeight="1" x14ac:dyDescent="0.3">
      <c r="A16" s="483" t="e">
        <f>_xlfn.SINGLE('Budget - Work Plan'!#REF!)</f>
        <v>#REF!</v>
      </c>
      <c r="B16" s="484"/>
      <c r="C16" s="485"/>
      <c r="D16" s="486" t="e">
        <f>'Budget - Work Plan'!#REF!</f>
        <v>#REF!</v>
      </c>
      <c r="E16" s="487" t="e">
        <f>'Budget - Work Plan'!#REF!</f>
        <v>#REF!</v>
      </c>
      <c r="F16" s="487" t="e">
        <f>'Budget - Work Plan'!#REF!</f>
        <v>#REF!</v>
      </c>
      <c r="G16" s="488" t="e">
        <f>'Budget - Work Plan'!#REF!</f>
        <v>#REF!</v>
      </c>
      <c r="H16" s="489"/>
      <c r="I16" s="550"/>
      <c r="J16" s="551"/>
      <c r="K16" s="490">
        <f t="shared" si="0"/>
        <v>0</v>
      </c>
      <c r="L16" s="552"/>
      <c r="M16" s="491"/>
    </row>
    <row r="17" spans="1:13" x14ac:dyDescent="0.3">
      <c r="A17" s="483" t="e">
        <f>_xlfn.SINGLE('Budget - Work Plan'!#REF!)</f>
        <v>#REF!</v>
      </c>
      <c r="B17" s="484"/>
      <c r="C17" s="485"/>
      <c r="D17" s="486" t="e">
        <f>'Budget - Work Plan'!#REF!</f>
        <v>#REF!</v>
      </c>
      <c r="E17" s="487" t="e">
        <f>'Budget - Work Plan'!#REF!</f>
        <v>#REF!</v>
      </c>
      <c r="F17" s="487" t="e">
        <f>'Budget - Work Plan'!#REF!</f>
        <v>#REF!</v>
      </c>
      <c r="G17" s="488" t="e">
        <f>'Budget - Work Plan'!#REF!</f>
        <v>#REF!</v>
      </c>
      <c r="H17" s="489"/>
      <c r="I17" s="550"/>
      <c r="J17" s="551"/>
      <c r="K17" s="490">
        <f t="shared" si="0"/>
        <v>0</v>
      </c>
      <c r="L17" s="552"/>
      <c r="M17" s="491"/>
    </row>
    <row r="18" spans="1:13" ht="15" customHeight="1" x14ac:dyDescent="0.3">
      <c r="A18" s="483" t="e">
        <f>_xlfn.SINGLE('Budget - Work Plan'!#REF!)</f>
        <v>#REF!</v>
      </c>
      <c r="B18" s="484"/>
      <c r="C18" s="485"/>
      <c r="D18" s="486" t="e">
        <f>'Budget - Work Plan'!#REF!</f>
        <v>#REF!</v>
      </c>
      <c r="E18" s="487" t="e">
        <f>'Budget - Work Plan'!#REF!</f>
        <v>#REF!</v>
      </c>
      <c r="F18" s="487" t="e">
        <f>'Budget - Work Plan'!#REF!</f>
        <v>#REF!</v>
      </c>
      <c r="G18" s="488" t="e">
        <f>'Budget - Work Plan'!#REF!</f>
        <v>#REF!</v>
      </c>
      <c r="H18" s="489"/>
      <c r="I18" s="550"/>
      <c r="J18" s="551"/>
      <c r="K18" s="490">
        <f t="shared" si="0"/>
        <v>0</v>
      </c>
      <c r="L18" s="552"/>
      <c r="M18" s="491"/>
    </row>
    <row r="19" spans="1:13" x14ac:dyDescent="0.3">
      <c r="A19" s="483" t="e">
        <f>_xlfn.SINGLE('Budget - Work Plan'!#REF!)</f>
        <v>#REF!</v>
      </c>
      <c r="B19" s="484"/>
      <c r="C19" s="485"/>
      <c r="D19" s="486" t="e">
        <f>'Budget - Work Plan'!#REF!</f>
        <v>#REF!</v>
      </c>
      <c r="E19" s="487" t="e">
        <f>'Budget - Work Plan'!#REF!</f>
        <v>#REF!</v>
      </c>
      <c r="F19" s="487" t="e">
        <f>'Budget - Work Plan'!#REF!</f>
        <v>#REF!</v>
      </c>
      <c r="G19" s="488" t="e">
        <f>'Budget - Work Plan'!#REF!</f>
        <v>#REF!</v>
      </c>
      <c r="H19" s="489"/>
      <c r="I19" s="550"/>
      <c r="J19" s="551"/>
      <c r="K19" s="490">
        <f t="shared" si="0"/>
        <v>0</v>
      </c>
      <c r="L19" s="552"/>
      <c r="M19" s="491"/>
    </row>
    <row r="20" spans="1:13" x14ac:dyDescent="0.3">
      <c r="A20" s="483" t="e">
        <f>_xlfn.SINGLE('Budget - Work Plan'!#REF!)</f>
        <v>#REF!</v>
      </c>
      <c r="B20" s="484"/>
      <c r="C20" s="485"/>
      <c r="D20" s="486" t="e">
        <f>'Budget - Work Plan'!#REF!</f>
        <v>#REF!</v>
      </c>
      <c r="E20" s="487" t="e">
        <f>'Budget - Work Plan'!#REF!</f>
        <v>#REF!</v>
      </c>
      <c r="F20" s="487" t="e">
        <f>'Budget - Work Plan'!#REF!</f>
        <v>#REF!</v>
      </c>
      <c r="G20" s="488" t="e">
        <f>'Budget - Work Plan'!#REF!</f>
        <v>#REF!</v>
      </c>
      <c r="H20" s="489"/>
      <c r="I20" s="550"/>
      <c r="J20" s="551"/>
      <c r="K20" s="490">
        <f t="shared" si="0"/>
        <v>0</v>
      </c>
      <c r="L20" s="552"/>
      <c r="M20" s="491"/>
    </row>
    <row r="21" spans="1:13" ht="15" customHeight="1" x14ac:dyDescent="0.3">
      <c r="A21" s="483" t="e">
        <f>_xlfn.SINGLE('Budget - Work Plan'!#REF!)</f>
        <v>#REF!</v>
      </c>
      <c r="B21" s="484"/>
      <c r="C21" s="485"/>
      <c r="D21" s="486" t="e">
        <f>'Budget - Work Plan'!#REF!</f>
        <v>#REF!</v>
      </c>
      <c r="E21" s="487" t="e">
        <f>'Budget - Work Plan'!#REF!</f>
        <v>#REF!</v>
      </c>
      <c r="F21" s="487" t="e">
        <f>'Budget - Work Plan'!#REF!</f>
        <v>#REF!</v>
      </c>
      <c r="G21" s="488" t="e">
        <f>'Budget - Work Plan'!#REF!</f>
        <v>#REF!</v>
      </c>
      <c r="H21" s="489"/>
      <c r="I21" s="550"/>
      <c r="J21" s="551"/>
      <c r="K21" s="490">
        <f t="shared" si="0"/>
        <v>0</v>
      </c>
      <c r="L21" s="552"/>
      <c r="M21" s="491"/>
    </row>
    <row r="22" spans="1:13" x14ac:dyDescent="0.3">
      <c r="A22" s="483" t="e">
        <f>_xlfn.SINGLE('Budget - Work Plan'!#REF!)</f>
        <v>#REF!</v>
      </c>
      <c r="B22" s="484"/>
      <c r="C22" s="485"/>
      <c r="D22" s="486" t="e">
        <f>'Budget - Work Plan'!#REF!</f>
        <v>#REF!</v>
      </c>
      <c r="E22" s="487" t="e">
        <f>'Budget - Work Plan'!#REF!</f>
        <v>#REF!</v>
      </c>
      <c r="F22" s="487" t="e">
        <f>'Budget - Work Plan'!#REF!</f>
        <v>#REF!</v>
      </c>
      <c r="G22" s="488" t="e">
        <f>'Budget - Work Plan'!#REF!</f>
        <v>#REF!</v>
      </c>
      <c r="H22" s="489"/>
      <c r="I22" s="550"/>
      <c r="J22" s="551"/>
      <c r="K22" s="490">
        <f t="shared" si="0"/>
        <v>0</v>
      </c>
      <c r="L22" s="552"/>
      <c r="M22" s="491"/>
    </row>
    <row r="23" spans="1:13" ht="15" customHeight="1" x14ac:dyDescent="0.3">
      <c r="A23" s="483" t="e">
        <f>_xlfn.SINGLE('Budget - Work Plan'!#REF!)</f>
        <v>#REF!</v>
      </c>
      <c r="B23" s="484"/>
      <c r="C23" s="485"/>
      <c r="D23" s="486" t="e">
        <f>'Budget - Work Plan'!#REF!</f>
        <v>#REF!</v>
      </c>
      <c r="E23" s="487" t="e">
        <f>'Budget - Work Plan'!#REF!</f>
        <v>#REF!</v>
      </c>
      <c r="F23" s="487" t="e">
        <f>'Budget - Work Plan'!#REF!</f>
        <v>#REF!</v>
      </c>
      <c r="G23" s="488" t="e">
        <f>'Budget - Work Plan'!#REF!</f>
        <v>#REF!</v>
      </c>
      <c r="H23" s="489"/>
      <c r="I23" s="550"/>
      <c r="J23" s="551"/>
      <c r="K23" s="490">
        <f t="shared" si="0"/>
        <v>0</v>
      </c>
      <c r="L23" s="552"/>
      <c r="M23" s="491"/>
    </row>
    <row r="24" spans="1:13" ht="15" thickBot="1" x14ac:dyDescent="0.35">
      <c r="A24" s="492" t="s">
        <v>138</v>
      </c>
      <c r="B24" s="493"/>
      <c r="C24" s="493"/>
      <c r="D24" s="493"/>
      <c r="E24" s="494">
        <f>'Budget - Work Plan'!E8</f>
        <v>0</v>
      </c>
      <c r="F24" s="494">
        <f>'Budget - Work Plan'!F8</f>
        <v>0</v>
      </c>
      <c r="G24" s="495">
        <f ca="1">'Budget - Work Plan'!G8</f>
        <v>3500</v>
      </c>
      <c r="H24" s="496"/>
      <c r="I24" s="497">
        <f>SUM(I8:I23)</f>
        <v>0</v>
      </c>
      <c r="J24" s="498">
        <f t="shared" ref="J24:K24" si="1">SUM(J8:J23)</f>
        <v>0</v>
      </c>
      <c r="K24" s="498">
        <f t="shared" si="1"/>
        <v>0</v>
      </c>
      <c r="L24" s="499"/>
      <c r="M24" s="499"/>
    </row>
    <row r="25" spans="1:13" ht="15" customHeight="1" thickBot="1" x14ac:dyDescent="0.35">
      <c r="A25" s="471" t="str">
        <f>'Budget - Work Plan'!A9</f>
        <v>Milestone 2: Set Up Project Administration.</v>
      </c>
      <c r="B25" s="472">
        <f>'Budget - Work Plan'!B9</f>
        <v>44335</v>
      </c>
      <c r="C25" s="472">
        <f>'Budget - Work Plan'!C9</f>
        <v>44742</v>
      </c>
      <c r="D25" s="473"/>
      <c r="E25" s="473"/>
      <c r="F25" s="474"/>
      <c r="G25" s="474"/>
      <c r="H25" s="475"/>
      <c r="I25" s="500"/>
      <c r="J25" s="500"/>
      <c r="K25" s="500"/>
      <c r="L25" s="500"/>
      <c r="M25" s="501"/>
    </row>
    <row r="26" spans="1:13" ht="30" customHeight="1" thickBot="1" x14ac:dyDescent="0.35">
      <c r="A26" s="502" t="str">
        <f>'Budget - Work Plan'!A10</f>
        <v>Milestone description: Implement Team workplan, timeline, and support system needed to develop a professionally prepared draft Feasibility Study.</v>
      </c>
      <c r="B26" s="503"/>
      <c r="C26" s="503"/>
      <c r="D26" s="503"/>
      <c r="E26" s="503"/>
      <c r="F26" s="503"/>
      <c r="G26" s="503"/>
      <c r="H26" s="504"/>
      <c r="I26" s="481"/>
      <c r="J26" s="481"/>
      <c r="K26" s="481"/>
      <c r="L26" s="481"/>
      <c r="M26" s="482"/>
    </row>
    <row r="27" spans="1:13" x14ac:dyDescent="0.3">
      <c r="A27" s="483" t="str">
        <f>'Budget - Work Plan'!A12:C12</f>
        <v xml:space="preserve">Hire part-time staff to support the Town of Cobourg in preparing an RFP. Purpose of the RFP will be to contract a Consultant for the proposed Feasibility Study for net-zero deep energy neighbourhood retrofits for low income residents. </v>
      </c>
      <c r="B27" s="484"/>
      <c r="C27" s="505"/>
      <c r="D27" s="486" t="str">
        <f>'Budget - Work Plan'!D12</f>
        <v>(6) Services</v>
      </c>
      <c r="E27" s="487">
        <f>'Budget - Work Plan'!E12</f>
        <v>11000</v>
      </c>
      <c r="F27" s="506">
        <f>'Budget - Work Plan'!F12</f>
        <v>0</v>
      </c>
      <c r="G27" s="507">
        <f>'Budget - Work Plan'!G12</f>
        <v>11000</v>
      </c>
      <c r="H27" s="489"/>
      <c r="I27" s="557"/>
      <c r="J27" s="558"/>
      <c r="K27" s="490">
        <f>I27+J27</f>
        <v>0</v>
      </c>
      <c r="L27" s="559"/>
      <c r="M27" s="491"/>
    </row>
    <row r="28" spans="1:13" x14ac:dyDescent="0.3">
      <c r="A28" s="483" t="str">
        <f>'Budget - Work Plan'!A13:C13</f>
        <v xml:space="preserve">Time of a part-time staff to work on this project and support the Team for a one-year period (apprpox) providing technical and administrative support. </v>
      </c>
      <c r="B28" s="484"/>
      <c r="C28" s="505"/>
      <c r="D28" s="486" t="str">
        <f>'Budget - Work Plan'!D13</f>
        <v>(6) Services</v>
      </c>
      <c r="E28" s="487">
        <f>'Budget - Work Plan'!E13</f>
        <v>22000</v>
      </c>
      <c r="F28" s="506">
        <f>'Budget - Work Plan'!F13</f>
        <v>0</v>
      </c>
      <c r="G28" s="507">
        <f>'Budget - Work Plan'!G13</f>
        <v>22000</v>
      </c>
      <c r="H28" s="489"/>
      <c r="I28" s="557"/>
      <c r="J28" s="558"/>
      <c r="K28" s="490">
        <f t="shared" ref="K28:K42" si="2">I28+J28</f>
        <v>0</v>
      </c>
      <c r="L28" s="559"/>
      <c r="M28" s="491"/>
    </row>
    <row r="29" spans="1:13" x14ac:dyDescent="0.3">
      <c r="A29" s="483" t="e">
        <f>_xlfn.SINGLE('Budget - Work Plan'!#REF!)</f>
        <v>#REF!</v>
      </c>
      <c r="B29" s="484"/>
      <c r="C29" s="505"/>
      <c r="D29" s="486" t="e">
        <f>'Budget - Work Plan'!#REF!</f>
        <v>#REF!</v>
      </c>
      <c r="E29" s="487" t="e">
        <f>'Budget - Work Plan'!#REF!</f>
        <v>#REF!</v>
      </c>
      <c r="F29" s="506" t="e">
        <f>'Budget - Work Plan'!#REF!</f>
        <v>#REF!</v>
      </c>
      <c r="G29" s="507" t="e">
        <f>'Budget - Work Plan'!#REF!</f>
        <v>#REF!</v>
      </c>
      <c r="H29" s="489"/>
      <c r="I29" s="557"/>
      <c r="J29" s="558"/>
      <c r="K29" s="490">
        <f t="shared" si="2"/>
        <v>0</v>
      </c>
      <c r="L29" s="559"/>
      <c r="M29" s="491"/>
    </row>
    <row r="30" spans="1:13" x14ac:dyDescent="0.3">
      <c r="A30" s="483" t="e">
        <f>_xlfn.SINGLE('Budget - Work Plan'!#REF!)</f>
        <v>#REF!</v>
      </c>
      <c r="B30" s="484"/>
      <c r="C30" s="505"/>
      <c r="D30" s="486" t="e">
        <f>'Budget - Work Plan'!#REF!</f>
        <v>#REF!</v>
      </c>
      <c r="E30" s="487" t="e">
        <f>'Budget - Work Plan'!#REF!</f>
        <v>#REF!</v>
      </c>
      <c r="F30" s="506" t="e">
        <f>'Budget - Work Plan'!#REF!</f>
        <v>#REF!</v>
      </c>
      <c r="G30" s="507" t="e">
        <f>'Budget - Work Plan'!#REF!</f>
        <v>#REF!</v>
      </c>
      <c r="H30" s="489"/>
      <c r="I30" s="557"/>
      <c r="J30" s="558"/>
      <c r="K30" s="490">
        <f t="shared" si="2"/>
        <v>0</v>
      </c>
      <c r="L30" s="559"/>
      <c r="M30" s="491"/>
    </row>
    <row r="31" spans="1:13" x14ac:dyDescent="0.3">
      <c r="A31" s="483" t="str">
        <f>'Budget - Work Plan'!A15:C15</f>
        <v xml:space="preserve">Part-time staff (as noted in cell A12) to prepare the RFP to hire a Consultant (who will complete the Feasibility Study) and to develop a points system to grade responses in bids received.  </v>
      </c>
      <c r="B31" s="484"/>
      <c r="C31" s="505"/>
      <c r="D31" s="486">
        <f>'Budget - Work Plan'!D15</f>
        <v>0</v>
      </c>
      <c r="E31" s="487">
        <f>'Budget - Work Plan'!E15</f>
        <v>0</v>
      </c>
      <c r="F31" s="506">
        <f>'Budget - Work Plan'!F15</f>
        <v>0</v>
      </c>
      <c r="G31" s="507">
        <f>'Budget - Work Plan'!G15</f>
        <v>0</v>
      </c>
      <c r="H31" s="489"/>
      <c r="I31" s="557"/>
      <c r="J31" s="558"/>
      <c r="K31" s="490">
        <f t="shared" si="2"/>
        <v>0</v>
      </c>
      <c r="L31" s="559"/>
      <c r="M31" s="491"/>
    </row>
    <row r="32" spans="1:13" x14ac:dyDescent="0.3">
      <c r="A32" s="483" t="str">
        <f>'Budget - Work Plan'!A14:C14</f>
        <v>Hold second Team meeting to develop purpose, goals, and criteria content for RFP for proposed Feasibility Study.</v>
      </c>
      <c r="B32" s="484"/>
      <c r="C32" s="505"/>
      <c r="D32" s="486">
        <f>'Budget - Work Plan'!D14</f>
        <v>0</v>
      </c>
      <c r="E32" s="487">
        <f>'Budget - Work Plan'!E14</f>
        <v>0</v>
      </c>
      <c r="F32" s="506">
        <f>'Budget - Work Plan'!F14</f>
        <v>0</v>
      </c>
      <c r="G32" s="507">
        <f>'Budget - Work Plan'!G14</f>
        <v>0</v>
      </c>
      <c r="H32" s="489"/>
      <c r="I32" s="557"/>
      <c r="J32" s="558"/>
      <c r="K32" s="490">
        <f t="shared" si="2"/>
        <v>0</v>
      </c>
      <c r="L32" s="559"/>
      <c r="M32" s="491"/>
    </row>
    <row r="33" spans="1:13" x14ac:dyDescent="0.3">
      <c r="A33" s="483" t="e">
        <f>_xlfn.SINGLE('Budget - Work Plan'!#REF!)</f>
        <v>#REF!</v>
      </c>
      <c r="B33" s="484"/>
      <c r="C33" s="505"/>
      <c r="D33" s="486" t="e">
        <f>'Budget - Work Plan'!#REF!</f>
        <v>#REF!</v>
      </c>
      <c r="E33" s="487" t="e">
        <f>'Budget - Work Plan'!#REF!</f>
        <v>#REF!</v>
      </c>
      <c r="F33" s="506" t="e">
        <f>'Budget - Work Plan'!#REF!</f>
        <v>#REF!</v>
      </c>
      <c r="G33" s="507" t="e">
        <f>'Budget - Work Plan'!#REF!</f>
        <v>#REF!</v>
      </c>
      <c r="H33" s="489"/>
      <c r="I33" s="557"/>
      <c r="J33" s="558"/>
      <c r="K33" s="490">
        <f t="shared" si="2"/>
        <v>0</v>
      </c>
      <c r="L33" s="559"/>
      <c r="M33" s="491"/>
    </row>
    <row r="34" spans="1:13" ht="15" customHeight="1" x14ac:dyDescent="0.3">
      <c r="A34" s="483" t="str">
        <f>'Budget - Work Plan'!A16:C16</f>
        <v>Hold third team meeting to review draft RFP for proposed Feasibility Study and points system.</v>
      </c>
      <c r="B34" s="484"/>
      <c r="C34" s="505"/>
      <c r="D34" s="486">
        <f>'Budget - Work Plan'!D16</f>
        <v>0</v>
      </c>
      <c r="E34" s="487">
        <f>'Budget - Work Plan'!E16</f>
        <v>0</v>
      </c>
      <c r="F34" s="506">
        <f>'Budget - Work Plan'!F16</f>
        <v>0</v>
      </c>
      <c r="G34" s="507">
        <f>'Budget - Work Plan'!G16</f>
        <v>0</v>
      </c>
      <c r="H34" s="489"/>
      <c r="I34" s="557"/>
      <c r="J34" s="558"/>
      <c r="K34" s="490">
        <f t="shared" si="2"/>
        <v>0</v>
      </c>
      <c r="L34" s="559"/>
      <c r="M34" s="491"/>
    </row>
    <row r="35" spans="1:13" ht="15" customHeight="1" x14ac:dyDescent="0.3">
      <c r="A35" s="483" t="str">
        <f>'Budget - Work Plan'!A17:C17</f>
        <v>Town of Cobourg's Solicitor/Lawyer and Council to review RFP.</v>
      </c>
      <c r="B35" s="484"/>
      <c r="C35" s="505"/>
      <c r="D35" s="486">
        <f>'Budget - Work Plan'!D17</f>
        <v>0</v>
      </c>
      <c r="E35" s="487">
        <f>'Budget - Work Plan'!E17</f>
        <v>0</v>
      </c>
      <c r="F35" s="506">
        <f>'Budget - Work Plan'!F17</f>
        <v>0</v>
      </c>
      <c r="G35" s="507">
        <f>'Budget - Work Plan'!G17</f>
        <v>0</v>
      </c>
      <c r="H35" s="489"/>
      <c r="I35" s="557"/>
      <c r="J35" s="558"/>
      <c r="K35" s="490">
        <f t="shared" si="2"/>
        <v>0</v>
      </c>
      <c r="L35" s="559"/>
      <c r="M35" s="491"/>
    </row>
    <row r="36" spans="1:13" ht="15" customHeight="1" x14ac:dyDescent="0.3">
      <c r="A36" s="483" t="str">
        <f>'Budget - Work Plan'!A18:C18</f>
        <v>Send out RFP "To Research, Analyze, and Detail the Pros and Cons of a Variety of Financing Models to Support Neighbourhood Deep Energy Retrofits for Low-income Residents."</v>
      </c>
      <c r="B36" s="484"/>
      <c r="C36" s="505"/>
      <c r="D36" s="486">
        <f>'Budget - Work Plan'!D18</f>
        <v>0</v>
      </c>
      <c r="E36" s="487">
        <f>'Budget - Work Plan'!E18</f>
        <v>0</v>
      </c>
      <c r="F36" s="506">
        <f>'Budget - Work Plan'!F18</f>
        <v>0</v>
      </c>
      <c r="G36" s="507">
        <f>'Budget - Work Plan'!G18</f>
        <v>0</v>
      </c>
      <c r="H36" s="489"/>
      <c r="I36" s="557"/>
      <c r="J36" s="558"/>
      <c r="K36" s="490">
        <f t="shared" si="2"/>
        <v>0</v>
      </c>
      <c r="L36" s="559"/>
      <c r="M36" s="491"/>
    </row>
    <row r="37" spans="1:13" ht="15" customHeight="1" x14ac:dyDescent="0.3">
      <c r="A37" s="483" t="str">
        <f>'Budget - Work Plan'!A19:C19</f>
        <v>Part-time staff member (as noted in cell A12) to organize/summarize RFP responses AND forward to Team members for review.</v>
      </c>
      <c r="B37" s="484"/>
      <c r="C37" s="505"/>
      <c r="D37" s="486">
        <f>'Budget - Work Plan'!D19</f>
        <v>0</v>
      </c>
      <c r="E37" s="487">
        <f>'Budget - Work Plan'!E19</f>
        <v>0</v>
      </c>
      <c r="F37" s="506">
        <f>'Budget - Work Plan'!F19</f>
        <v>0</v>
      </c>
      <c r="G37" s="507">
        <f>'Budget - Work Plan'!G19</f>
        <v>0</v>
      </c>
      <c r="H37" s="489"/>
      <c r="I37" s="557"/>
      <c r="J37" s="558"/>
      <c r="K37" s="490">
        <f t="shared" si="2"/>
        <v>0</v>
      </c>
      <c r="L37" s="559"/>
      <c r="M37" s="491"/>
    </row>
    <row r="38" spans="1:13" ht="15" customHeight="1" x14ac:dyDescent="0.3">
      <c r="A38" s="483" t="str">
        <f>'Budget - Work Plan'!A20:C20</f>
        <v>Hold fourth Team meeting to review/select a Consultant who will be tasked with preparing the proposed Feasibility Study.</v>
      </c>
      <c r="B38" s="484"/>
      <c r="C38" s="505"/>
      <c r="D38" s="486">
        <f>'Budget - Work Plan'!D20</f>
        <v>0</v>
      </c>
      <c r="E38" s="487">
        <f>'Budget - Work Plan'!E20</f>
        <v>0</v>
      </c>
      <c r="F38" s="506">
        <f>'Budget - Work Plan'!F20</f>
        <v>0</v>
      </c>
      <c r="G38" s="507">
        <f>'Budget - Work Plan'!G20</f>
        <v>0</v>
      </c>
      <c r="H38" s="489"/>
      <c r="I38" s="557"/>
      <c r="J38" s="558"/>
      <c r="K38" s="490">
        <f t="shared" si="2"/>
        <v>0</v>
      </c>
      <c r="L38" s="559"/>
      <c r="M38" s="491"/>
    </row>
    <row r="39" spans="1:13" x14ac:dyDescent="0.3">
      <c r="A39" s="483" t="str">
        <f>'Budget - Work Plan'!A21:C21</f>
        <v>Consultant contacted and date for first meeting with Team arranged.</v>
      </c>
      <c r="B39" s="484"/>
      <c r="C39" s="505"/>
      <c r="D39" s="486">
        <f>'Budget - Work Plan'!D21</f>
        <v>0</v>
      </c>
      <c r="E39" s="487">
        <f>'Budget - Work Plan'!E21</f>
        <v>0</v>
      </c>
      <c r="F39" s="506">
        <f>'Budget - Work Plan'!F21</f>
        <v>0</v>
      </c>
      <c r="G39" s="507">
        <f>'Budget - Work Plan'!G21</f>
        <v>0</v>
      </c>
      <c r="H39" s="489"/>
      <c r="I39" s="557"/>
      <c r="J39" s="558"/>
      <c r="K39" s="490">
        <f t="shared" si="2"/>
        <v>0</v>
      </c>
      <c r="L39" s="559"/>
      <c r="M39" s="491"/>
    </row>
    <row r="40" spans="1:13" x14ac:dyDescent="0.3">
      <c r="A40" s="483" t="str">
        <f>'Budget - Work Plan'!A22:C22</f>
        <v xml:space="preserve">Approval of winning bid and Start-up meeting with selected Consultant </v>
      </c>
      <c r="B40" s="484"/>
      <c r="C40" s="505"/>
      <c r="D40" s="486" t="str">
        <f>'Budget - Work Plan'!D22</f>
        <v>(6) Services</v>
      </c>
      <c r="E40" s="487">
        <f>'Budget - Work Plan'!E22</f>
        <v>52000</v>
      </c>
      <c r="F40" s="506">
        <f>'Budget - Work Plan'!F22</f>
        <v>0</v>
      </c>
      <c r="G40" s="507">
        <f>'Budget - Work Plan'!G22</f>
        <v>52000</v>
      </c>
      <c r="H40" s="489"/>
      <c r="I40" s="557"/>
      <c r="J40" s="558"/>
      <c r="K40" s="490">
        <f t="shared" si="2"/>
        <v>0</v>
      </c>
      <c r="L40" s="559"/>
      <c r="M40" s="491"/>
    </row>
    <row r="41" spans="1:13" ht="15" customHeight="1" x14ac:dyDescent="0.3">
      <c r="A41" s="483" t="str">
        <f>'Budget - Work Plan'!A23:C23</f>
        <v>Consultant prepares for review first draft of Feasibility Study from Consultant on financing options that fit with the intended audience of landlords, low-income renters, and low income property owners facing 'energy poverty'.</v>
      </c>
      <c r="B41" s="484"/>
      <c r="C41" s="505"/>
      <c r="D41" s="486">
        <f>'Budget - Work Plan'!D23</f>
        <v>0</v>
      </c>
      <c r="E41" s="487">
        <f>'Budget - Work Plan'!E23</f>
        <v>0</v>
      </c>
      <c r="F41" s="506">
        <f>'Budget - Work Plan'!F23</f>
        <v>0</v>
      </c>
      <c r="G41" s="507">
        <f>'Budget - Work Plan'!G23</f>
        <v>0</v>
      </c>
      <c r="H41" s="489"/>
      <c r="I41" s="557"/>
      <c r="J41" s="558"/>
      <c r="K41" s="490">
        <f t="shared" si="2"/>
        <v>0</v>
      </c>
      <c r="L41" s="559"/>
      <c r="M41" s="491"/>
    </row>
    <row r="42" spans="1:13" ht="15" customHeight="1" x14ac:dyDescent="0.3">
      <c r="A42" s="483" t="str">
        <f>'Budget - Work Plan'!A26:C26</f>
        <v>Consultant takes Team comments and preparesa for review a second draft of Feasibility Study on financing deep retrofits in neighbourhoods facing energy poverty before ta wider  public consultation process starts.</v>
      </c>
      <c r="B42" s="484"/>
      <c r="C42" s="505"/>
      <c r="D42" s="486">
        <f>'Budget - Work Plan'!D26</f>
        <v>0</v>
      </c>
      <c r="E42" s="487">
        <f>'Budget - Work Plan'!E26</f>
        <v>0</v>
      </c>
      <c r="F42" s="506">
        <f>'Budget - Work Plan'!F26</f>
        <v>0</v>
      </c>
      <c r="G42" s="507">
        <f>'Budget - Work Plan'!G26</f>
        <v>0</v>
      </c>
      <c r="H42" s="489"/>
      <c r="I42" s="557"/>
      <c r="J42" s="558"/>
      <c r="K42" s="490">
        <f t="shared" si="2"/>
        <v>0</v>
      </c>
      <c r="L42" s="559"/>
      <c r="M42" s="491"/>
    </row>
    <row r="43" spans="1:13" ht="15" thickBot="1" x14ac:dyDescent="0.35">
      <c r="A43" s="492" t="s">
        <v>138</v>
      </c>
      <c r="B43" s="493"/>
      <c r="C43" s="493"/>
      <c r="D43" s="493"/>
      <c r="E43" s="494">
        <f>'Budget - Work Plan'!E27</f>
        <v>0</v>
      </c>
      <c r="F43" s="494">
        <f>'Budget - Work Plan'!F27</f>
        <v>0</v>
      </c>
      <c r="G43" s="495">
        <f ca="1">'Budget - Work Plan'!G27</f>
        <v>85000</v>
      </c>
      <c r="H43" s="496"/>
      <c r="I43" s="508">
        <f>SUM(I27:I42)</f>
        <v>0</v>
      </c>
      <c r="J43" s="494">
        <f t="shared" ref="J43:K43" si="3">SUM(J27:J42)</f>
        <v>0</v>
      </c>
      <c r="K43" s="494">
        <f t="shared" si="3"/>
        <v>0</v>
      </c>
      <c r="L43" s="499"/>
      <c r="M43" s="499"/>
    </row>
    <row r="44" spans="1:13" ht="15" customHeight="1" thickBot="1" x14ac:dyDescent="0.35">
      <c r="A44" s="471" t="str">
        <f>'Budget - Work Plan'!A28</f>
        <v>Milestone 3: Public and Peer Consultation.</v>
      </c>
      <c r="B44" s="472">
        <f>'Budget - Work Plan'!B28</f>
        <v>44697</v>
      </c>
      <c r="C44" s="472">
        <f>'Budget - Work Plan'!C28</f>
        <v>44813</v>
      </c>
      <c r="D44" s="473"/>
      <c r="E44" s="473"/>
      <c r="F44" s="474"/>
      <c r="G44" s="474"/>
      <c r="H44" s="475"/>
      <c r="I44" s="500"/>
      <c r="J44" s="500"/>
      <c r="K44" s="500"/>
      <c r="L44" s="500"/>
      <c r="M44" s="501"/>
    </row>
    <row r="45" spans="1:13" ht="30" customHeight="1" thickBot="1" x14ac:dyDescent="0.35">
      <c r="A45" s="478" t="str">
        <f>'Budget - Work Plan'!A29</f>
        <v>Milestone description: Public input and sharing with peer organizations and stakeholders on the financing  strategies coaleses around one or two options.</v>
      </c>
      <c r="B45" s="479"/>
      <c r="C45" s="479"/>
      <c r="D45" s="479"/>
      <c r="E45" s="479"/>
      <c r="F45" s="479"/>
      <c r="G45" s="479"/>
      <c r="H45" s="480"/>
      <c r="I45" s="481"/>
      <c r="J45" s="481"/>
      <c r="K45" s="481"/>
      <c r="L45" s="481"/>
      <c r="M45" s="482"/>
    </row>
    <row r="46" spans="1:13" ht="28.8" x14ac:dyDescent="0.3">
      <c r="A46" s="483" t="str">
        <f>'Budget - Work Plan'!A31:C31</f>
        <v>One public consultation live or by Zoom with a rapporteur and the Consultant present and several means of expressing preferences.</v>
      </c>
      <c r="B46" s="484"/>
      <c r="C46" s="505"/>
      <c r="D46" s="509" t="str">
        <f>'Budget - Work Plan'!D31</f>
        <v>(5) Meetings and public gatherings</v>
      </c>
      <c r="E46" s="510">
        <f>'Budget - Work Plan'!E31</f>
        <v>750</v>
      </c>
      <c r="F46" s="487">
        <f>'Budget - Work Plan'!F31</f>
        <v>0</v>
      </c>
      <c r="G46" s="488">
        <f>'Budget - Work Plan'!G31</f>
        <v>750</v>
      </c>
      <c r="H46" s="489"/>
      <c r="I46" s="557"/>
      <c r="J46" s="558"/>
      <c r="K46" s="490">
        <f>I46+J46</f>
        <v>0</v>
      </c>
      <c r="L46" s="552"/>
      <c r="M46" s="511"/>
    </row>
    <row r="47" spans="1:13" x14ac:dyDescent="0.3">
      <c r="A47" s="483" t="str">
        <f>'Budget - Work Plan'!A32:C32</f>
        <v>Part-time staff member (as noted in cell A12) will prepare a consultation report (that summarizes the consultation meeting outcomes/comments). and distributes for one week review to the Team</v>
      </c>
      <c r="B47" s="484"/>
      <c r="C47" s="505"/>
      <c r="D47" s="509">
        <f>'Budget - Work Plan'!D32</f>
        <v>0</v>
      </c>
      <c r="E47" s="510">
        <f>'Budget - Work Plan'!E32</f>
        <v>0</v>
      </c>
      <c r="F47" s="487">
        <f>'Budget - Work Plan'!F32</f>
        <v>0</v>
      </c>
      <c r="G47" s="488">
        <f>'Budget - Work Plan'!G32</f>
        <v>0</v>
      </c>
      <c r="H47" s="489"/>
      <c r="I47" s="557"/>
      <c r="J47" s="558"/>
      <c r="K47" s="490">
        <f t="shared" ref="K47:K61" si="4">I47+J47</f>
        <v>0</v>
      </c>
      <c r="L47" s="552"/>
      <c r="M47" s="511"/>
    </row>
    <row r="48" spans="1:13" x14ac:dyDescent="0.3">
      <c r="A48" s="483" t="str">
        <f>'Budget - Work Plan'!A33:C33</f>
        <v>Sixth Team meeting to review consultation report (as noted in cell A30).</v>
      </c>
      <c r="B48" s="484"/>
      <c r="C48" s="505"/>
      <c r="D48" s="509">
        <f>'Budget - Work Plan'!D33</f>
        <v>0</v>
      </c>
      <c r="E48" s="510">
        <f>'Budget - Work Plan'!E33</f>
        <v>0</v>
      </c>
      <c r="F48" s="487">
        <f>'Budget - Work Plan'!F33</f>
        <v>0</v>
      </c>
      <c r="G48" s="488">
        <f>'Budget - Work Plan'!G33</f>
        <v>0</v>
      </c>
      <c r="H48" s="489"/>
      <c r="I48" s="557"/>
      <c r="J48" s="558"/>
      <c r="K48" s="490">
        <f t="shared" si="4"/>
        <v>0</v>
      </c>
      <c r="L48" s="552"/>
      <c r="M48" s="511"/>
    </row>
    <row r="49" spans="1:13" x14ac:dyDescent="0.3">
      <c r="A49" s="483" t="str">
        <f>'Budget - Work Plan'!A34:C34</f>
        <v>Revision of the Feasibility Report by Consultant under Team  administrators direction.</v>
      </c>
      <c r="B49" s="484"/>
      <c r="C49" s="505"/>
      <c r="D49" s="509">
        <f>'Budget - Work Plan'!D34</f>
        <v>0</v>
      </c>
      <c r="E49" s="510">
        <f>'Budget - Work Plan'!E34</f>
        <v>0</v>
      </c>
      <c r="F49" s="487">
        <f>'Budget - Work Plan'!F34</f>
        <v>0</v>
      </c>
      <c r="G49" s="488">
        <f>'Budget - Work Plan'!G34</f>
        <v>0</v>
      </c>
      <c r="H49" s="489"/>
      <c r="I49" s="557"/>
      <c r="J49" s="558"/>
      <c r="K49" s="490">
        <f t="shared" si="4"/>
        <v>0</v>
      </c>
      <c r="L49" s="552"/>
      <c r="M49" s="511"/>
    </row>
    <row r="50" spans="1:13" x14ac:dyDescent="0.3">
      <c r="A50" s="483" t="str">
        <f>'Budget - Work Plan'!A35:C35</f>
        <v>Share Report with peers (such as Recover N.S., PCP Climate Coordinator colleagues in eastern Ontario  and Clean Air Partnership) for comment and with local stakeholder organizations.</v>
      </c>
      <c r="B50" s="484"/>
      <c r="C50" s="505"/>
      <c r="D50" s="509">
        <f>'Budget - Work Plan'!D35</f>
        <v>0</v>
      </c>
      <c r="E50" s="510">
        <f>'Budget - Work Plan'!E35</f>
        <v>0</v>
      </c>
      <c r="F50" s="487">
        <f>'Budget - Work Plan'!F35</f>
        <v>0</v>
      </c>
      <c r="G50" s="488">
        <f>'Budget - Work Plan'!G35</f>
        <v>0</v>
      </c>
      <c r="H50" s="489"/>
      <c r="I50" s="557"/>
      <c r="J50" s="558"/>
      <c r="K50" s="490">
        <f t="shared" si="4"/>
        <v>0</v>
      </c>
      <c r="L50" s="552"/>
      <c r="M50" s="511"/>
    </row>
    <row r="51" spans="1:13" x14ac:dyDescent="0.3">
      <c r="A51" s="483" t="str">
        <f>'Budget - Work Plan'!A36:C36</f>
        <v>Part-time staff  (as noted in cell A12) prepares report on comments from peer organizations and local stakeholders.</v>
      </c>
      <c r="B51" s="484"/>
      <c r="C51" s="505"/>
      <c r="D51" s="509">
        <f>'Budget - Work Plan'!D36</f>
        <v>0</v>
      </c>
      <c r="E51" s="510">
        <f>'Budget - Work Plan'!E36</f>
        <v>0</v>
      </c>
      <c r="F51" s="487">
        <f>'Budget - Work Plan'!F36</f>
        <v>0</v>
      </c>
      <c r="G51" s="488">
        <f>'Budget - Work Plan'!G36</f>
        <v>0</v>
      </c>
      <c r="H51" s="489"/>
      <c r="I51" s="557"/>
      <c r="J51" s="558"/>
      <c r="K51" s="490">
        <f t="shared" si="4"/>
        <v>0</v>
      </c>
      <c r="L51" s="552"/>
      <c r="M51" s="511"/>
    </row>
    <row r="52" spans="1:13" x14ac:dyDescent="0.3">
      <c r="A52" s="483" t="str">
        <f>'Budget - Work Plan'!A37:C37</f>
        <v>Seventh Team meeting with Consultant to go over peer reports.</v>
      </c>
      <c r="B52" s="484"/>
      <c r="C52" s="505"/>
      <c r="D52" s="509">
        <f>'Budget - Work Plan'!D37</f>
        <v>0</v>
      </c>
      <c r="E52" s="510">
        <f>'Budget - Work Plan'!E37</f>
        <v>0</v>
      </c>
      <c r="F52" s="487">
        <f>'Budget - Work Plan'!F37</f>
        <v>0</v>
      </c>
      <c r="G52" s="488">
        <f>'Budget - Work Plan'!G37</f>
        <v>0</v>
      </c>
      <c r="H52" s="489"/>
      <c r="I52" s="557"/>
      <c r="J52" s="558"/>
      <c r="K52" s="490">
        <f t="shared" si="4"/>
        <v>0</v>
      </c>
      <c r="L52" s="552"/>
      <c r="M52" s="511"/>
    </row>
    <row r="53" spans="1:13" ht="15" customHeight="1" x14ac:dyDescent="0.3">
      <c r="A53" s="483" t="str">
        <f>'Budget - Work Plan'!A38:C38</f>
        <v>Consultant to complete final revision of Feasibility Study taking into account direction from the Team on peer reports.</v>
      </c>
      <c r="B53" s="484"/>
      <c r="C53" s="505"/>
      <c r="D53" s="509">
        <f>'Budget - Work Plan'!D38</f>
        <v>0</v>
      </c>
      <c r="E53" s="510">
        <f>'Budget - Work Plan'!E38</f>
        <v>0</v>
      </c>
      <c r="F53" s="487">
        <f>'Budget - Work Plan'!F38</f>
        <v>0</v>
      </c>
      <c r="G53" s="488">
        <f>'Budget - Work Plan'!G38</f>
        <v>0</v>
      </c>
      <c r="H53" s="489"/>
      <c r="I53" s="557"/>
      <c r="J53" s="558"/>
      <c r="K53" s="490">
        <f t="shared" si="4"/>
        <v>0</v>
      </c>
      <c r="L53" s="552"/>
      <c r="M53" s="511"/>
    </row>
    <row r="54" spans="1:13" ht="15" customHeight="1" x14ac:dyDescent="0.3">
      <c r="A54" s="483" t="str">
        <f>'Budget - Work Plan'!A39:C39</f>
        <v>Team meeting for final review before Feasibility Study goes to Committee of the Whole Cobourg Council.</v>
      </c>
      <c r="B54" s="484"/>
      <c r="C54" s="505"/>
      <c r="D54" s="509">
        <f>'Budget - Work Plan'!D39</f>
        <v>0</v>
      </c>
      <c r="E54" s="510">
        <f>'Budget - Work Plan'!E39</f>
        <v>0</v>
      </c>
      <c r="F54" s="487">
        <f>'Budget - Work Plan'!F39</f>
        <v>0</v>
      </c>
      <c r="G54" s="488">
        <f>'Budget - Work Plan'!G39</f>
        <v>0</v>
      </c>
      <c r="H54" s="489"/>
      <c r="I54" s="557"/>
      <c r="J54" s="558"/>
      <c r="K54" s="490">
        <f t="shared" si="4"/>
        <v>0</v>
      </c>
      <c r="L54" s="552"/>
      <c r="M54" s="511"/>
    </row>
    <row r="55" spans="1:13" ht="15" customHeight="1" x14ac:dyDescent="0.3">
      <c r="A55" s="483" t="str">
        <f>'Budget - Work Plan'!A43:C43</f>
        <v>Deadline for Council meeting Agenda items.</v>
      </c>
      <c r="B55" s="484"/>
      <c r="C55" s="505"/>
      <c r="D55" s="509" t="e">
        <f>'Budget - Work Plan'!#REF!</f>
        <v>#REF!</v>
      </c>
      <c r="E55" s="510" t="e">
        <f>'Budget - Work Plan'!#REF!</f>
        <v>#REF!</v>
      </c>
      <c r="F55" s="487" t="e">
        <f>'Budget - Work Plan'!#REF!</f>
        <v>#REF!</v>
      </c>
      <c r="G55" s="488" t="e">
        <f>'Budget - Work Plan'!#REF!</f>
        <v>#REF!</v>
      </c>
      <c r="H55" s="489"/>
      <c r="I55" s="557"/>
      <c r="J55" s="558"/>
      <c r="K55" s="490">
        <f t="shared" si="4"/>
        <v>0</v>
      </c>
      <c r="L55" s="552"/>
      <c r="M55" s="511"/>
    </row>
    <row r="56" spans="1:13" x14ac:dyDescent="0.3">
      <c r="A56" s="483" t="str">
        <f>'Budget - Work Plan'!A44:C44</f>
        <v>Council Committee of the Whole to review draft Feasibility Study.</v>
      </c>
      <c r="B56" s="484"/>
      <c r="C56" s="505"/>
      <c r="D56" s="509" t="e">
        <f>'Budget - Work Plan'!#REF!</f>
        <v>#REF!</v>
      </c>
      <c r="E56" s="510" t="e">
        <f>'Budget - Work Plan'!#REF!</f>
        <v>#REF!</v>
      </c>
      <c r="F56" s="487" t="e">
        <f>'Budget - Work Plan'!#REF!</f>
        <v>#REF!</v>
      </c>
      <c r="G56" s="488" t="e">
        <f>'Budget - Work Plan'!#REF!</f>
        <v>#REF!</v>
      </c>
      <c r="H56" s="489"/>
      <c r="I56" s="557"/>
      <c r="J56" s="558"/>
      <c r="K56" s="490">
        <f t="shared" si="4"/>
        <v>0</v>
      </c>
      <c r="L56" s="552"/>
      <c r="M56" s="511"/>
    </row>
    <row r="57" spans="1:13" x14ac:dyDescent="0.3">
      <c r="A57" s="483" t="str">
        <f>'Budget - Work Plan'!A45:C45</f>
        <v>Motion to approve Feasibility Study by Cobourg Council.</v>
      </c>
      <c r="B57" s="484"/>
      <c r="C57" s="505"/>
      <c r="D57" s="509" t="e">
        <f>'Budget - Work Plan'!#REF!</f>
        <v>#REF!</v>
      </c>
      <c r="E57" s="510" t="e">
        <f>'Budget - Work Plan'!#REF!</f>
        <v>#REF!</v>
      </c>
      <c r="F57" s="487" t="e">
        <f>'Budget - Work Plan'!#REF!</f>
        <v>#REF!</v>
      </c>
      <c r="G57" s="488" t="e">
        <f>'Budget - Work Plan'!#REF!</f>
        <v>#REF!</v>
      </c>
      <c r="H57" s="489"/>
      <c r="I57" s="557"/>
      <c r="J57" s="558"/>
      <c r="K57" s="490">
        <f t="shared" si="4"/>
        <v>0</v>
      </c>
      <c r="L57" s="552"/>
      <c r="M57" s="511"/>
    </row>
    <row r="58" spans="1:13" x14ac:dyDescent="0.3">
      <c r="A58" s="483" t="e">
        <f>_xlfn.SINGLE('Budget - Work Plan'!#REF!)</f>
        <v>#REF!</v>
      </c>
      <c r="B58" s="484"/>
      <c r="C58" s="505"/>
      <c r="D58" s="509" t="e">
        <f>'Budget - Work Plan'!#REF!</f>
        <v>#REF!</v>
      </c>
      <c r="E58" s="510" t="e">
        <f>'Budget - Work Plan'!#REF!</f>
        <v>#REF!</v>
      </c>
      <c r="F58" s="487" t="e">
        <f>'Budget - Work Plan'!#REF!</f>
        <v>#REF!</v>
      </c>
      <c r="G58" s="488" t="e">
        <f>'Budget - Work Plan'!#REF!</f>
        <v>#REF!</v>
      </c>
      <c r="H58" s="489"/>
      <c r="I58" s="557"/>
      <c r="J58" s="558"/>
      <c r="K58" s="490">
        <f t="shared" si="4"/>
        <v>0</v>
      </c>
      <c r="L58" s="552"/>
      <c r="M58" s="511"/>
    </row>
    <row r="59" spans="1:13" x14ac:dyDescent="0.3">
      <c r="A59" s="483" t="e">
        <f>_xlfn.SINGLE('Budget - Work Plan'!#REF!)</f>
        <v>#REF!</v>
      </c>
      <c r="B59" s="484"/>
      <c r="C59" s="505"/>
      <c r="D59" s="509" t="e">
        <f>'Budget - Work Plan'!#REF!</f>
        <v>#REF!</v>
      </c>
      <c r="E59" s="510" t="e">
        <f>'Budget - Work Plan'!#REF!</f>
        <v>#REF!</v>
      </c>
      <c r="F59" s="487" t="e">
        <f>'Budget - Work Plan'!#REF!</f>
        <v>#REF!</v>
      </c>
      <c r="G59" s="488" t="e">
        <f>'Budget - Work Plan'!#REF!</f>
        <v>#REF!</v>
      </c>
      <c r="H59" s="489"/>
      <c r="I59" s="557"/>
      <c r="J59" s="558"/>
      <c r="K59" s="490">
        <f t="shared" si="4"/>
        <v>0</v>
      </c>
      <c r="L59" s="552"/>
      <c r="M59" s="511"/>
    </row>
    <row r="60" spans="1:13" x14ac:dyDescent="0.3">
      <c r="A60" s="483" t="e">
        <f>_xlfn.SINGLE('Budget - Work Plan'!#REF!)</f>
        <v>#REF!</v>
      </c>
      <c r="B60" s="484"/>
      <c r="C60" s="505"/>
      <c r="D60" s="509" t="e">
        <f>'Budget - Work Plan'!#REF!</f>
        <v>#REF!</v>
      </c>
      <c r="E60" s="510" t="e">
        <f>'Budget - Work Plan'!#REF!</f>
        <v>#REF!</v>
      </c>
      <c r="F60" s="487" t="e">
        <f>'Budget - Work Plan'!#REF!</f>
        <v>#REF!</v>
      </c>
      <c r="G60" s="488" t="e">
        <f>'Budget - Work Plan'!#REF!</f>
        <v>#REF!</v>
      </c>
      <c r="H60" s="489"/>
      <c r="I60" s="557"/>
      <c r="J60" s="558"/>
      <c r="K60" s="490">
        <f t="shared" si="4"/>
        <v>0</v>
      </c>
      <c r="L60" s="552"/>
      <c r="M60" s="511"/>
    </row>
    <row r="61" spans="1:13" x14ac:dyDescent="0.3">
      <c r="A61" s="483" t="e">
        <f>_xlfn.SINGLE('Budget - Work Plan'!#REF!)</f>
        <v>#REF!</v>
      </c>
      <c r="B61" s="484"/>
      <c r="C61" s="505"/>
      <c r="D61" s="509" t="e">
        <f>'Budget - Work Plan'!#REF!</f>
        <v>#REF!</v>
      </c>
      <c r="E61" s="510" t="e">
        <f>'Budget - Work Plan'!#REF!</f>
        <v>#REF!</v>
      </c>
      <c r="F61" s="487" t="e">
        <f>'Budget - Work Plan'!#REF!</f>
        <v>#REF!</v>
      </c>
      <c r="G61" s="488" t="e">
        <f>'Budget - Work Plan'!#REF!</f>
        <v>#REF!</v>
      </c>
      <c r="H61" s="489"/>
      <c r="I61" s="557"/>
      <c r="J61" s="558"/>
      <c r="K61" s="490">
        <f t="shared" si="4"/>
        <v>0</v>
      </c>
      <c r="L61" s="552"/>
      <c r="M61" s="511"/>
    </row>
    <row r="62" spans="1:13" ht="15" thickBot="1" x14ac:dyDescent="0.35">
      <c r="A62" s="492" t="s">
        <v>138</v>
      </c>
      <c r="B62" s="493"/>
      <c r="C62" s="493"/>
      <c r="D62" s="493"/>
      <c r="E62" s="494">
        <f>'Budget - Work Plan'!E40</f>
        <v>0</v>
      </c>
      <c r="F62" s="494">
        <f>'Budget - Work Plan'!F40</f>
        <v>0</v>
      </c>
      <c r="G62" s="512">
        <f ca="1">'Budget - Work Plan'!G40</f>
        <v>750</v>
      </c>
      <c r="H62" s="496"/>
      <c r="I62" s="508">
        <f>SUM(I46:I61)</f>
        <v>0</v>
      </c>
      <c r="J62" s="494">
        <f t="shared" ref="J62:K62" si="5">SUM(J46:J61)</f>
        <v>0</v>
      </c>
      <c r="K62" s="494">
        <f t="shared" si="5"/>
        <v>0</v>
      </c>
      <c r="L62" s="513"/>
      <c r="M62" s="513"/>
    </row>
    <row r="63" spans="1:13" ht="15" customHeight="1" thickBot="1" x14ac:dyDescent="0.35">
      <c r="A63" s="471" t="str">
        <f>'Budget - Work Plan'!A41</f>
        <v>Milestone 4: Council Approval.</v>
      </c>
      <c r="B63" s="472">
        <f>'Budget - Work Plan'!B41</f>
        <v>44813</v>
      </c>
      <c r="C63" s="472">
        <f>'Budget - Work Plan'!C41</f>
        <v>44830</v>
      </c>
      <c r="D63" s="473"/>
      <c r="E63" s="473"/>
      <c r="F63" s="474"/>
      <c r="G63" s="474"/>
      <c r="H63" s="475"/>
      <c r="I63" s="500"/>
      <c r="J63" s="500"/>
      <c r="K63" s="500"/>
      <c r="L63" s="500"/>
      <c r="M63" s="501"/>
    </row>
    <row r="64" spans="1:13" ht="30" customHeight="1" thickBot="1" x14ac:dyDescent="0.35">
      <c r="A64" s="478" t="str">
        <f>'Budget - Work Plan'!A42</f>
        <v>Milestone description: Steps to achieve Council approval.</v>
      </c>
      <c r="B64" s="479"/>
      <c r="C64" s="479"/>
      <c r="D64" s="479"/>
      <c r="E64" s="479"/>
      <c r="F64" s="479"/>
      <c r="G64" s="479"/>
      <c r="H64" s="480"/>
      <c r="I64" s="481"/>
      <c r="J64" s="481"/>
      <c r="K64" s="481"/>
      <c r="L64" s="481"/>
      <c r="M64" s="482"/>
    </row>
    <row r="65" spans="1:13" x14ac:dyDescent="0.3">
      <c r="A65" s="483" t="e">
        <f>_xlfn.SINGLE('Budget - Work Plan'!#REF!)</f>
        <v>#REF!</v>
      </c>
      <c r="B65" s="484"/>
      <c r="C65" s="485"/>
      <c r="D65" s="486">
        <f>'Budget - Work Plan'!D43</f>
        <v>0</v>
      </c>
      <c r="E65" s="514">
        <f>'Budget - Work Plan'!E43</f>
        <v>0</v>
      </c>
      <c r="F65" s="514">
        <f>'Budget - Work Plan'!F43</f>
        <v>0</v>
      </c>
      <c r="G65" s="515">
        <f>'Budget - Work Plan'!G43</f>
        <v>0</v>
      </c>
      <c r="H65" s="516"/>
      <c r="I65" s="560"/>
      <c r="J65" s="561"/>
      <c r="K65" s="517">
        <f>I65+J65</f>
        <v>0</v>
      </c>
      <c r="L65" s="559"/>
      <c r="M65" s="511"/>
    </row>
    <row r="66" spans="1:13" x14ac:dyDescent="0.3">
      <c r="A66" s="483" t="e">
        <f>_xlfn.SINGLE('Budget - Work Plan'!#REF!)</f>
        <v>#REF!</v>
      </c>
      <c r="B66" s="484"/>
      <c r="C66" s="485"/>
      <c r="D66" s="486">
        <f>'Budget - Work Plan'!D44</f>
        <v>0</v>
      </c>
      <c r="E66" s="514">
        <f>'Budget - Work Plan'!E44</f>
        <v>0</v>
      </c>
      <c r="F66" s="514">
        <f>'Budget - Work Plan'!F44</f>
        <v>0</v>
      </c>
      <c r="G66" s="515">
        <f>'Budget - Work Plan'!G44</f>
        <v>0</v>
      </c>
      <c r="H66" s="516"/>
      <c r="I66" s="560"/>
      <c r="J66" s="561"/>
      <c r="K66" s="517">
        <f t="shared" ref="K66:K80" si="6">I66+J66</f>
        <v>0</v>
      </c>
      <c r="L66" s="559"/>
      <c r="M66" s="511"/>
    </row>
    <row r="67" spans="1:13" x14ac:dyDescent="0.3">
      <c r="A67" s="483" t="e">
        <f>_xlfn.SINGLE('Budget - Work Plan'!#REF!)</f>
        <v>#REF!</v>
      </c>
      <c r="B67" s="484"/>
      <c r="C67" s="485"/>
      <c r="D67" s="486">
        <f>'Budget - Work Plan'!D45</f>
        <v>0</v>
      </c>
      <c r="E67" s="514">
        <f>'Budget - Work Plan'!E45</f>
        <v>0</v>
      </c>
      <c r="F67" s="514">
        <f>'Budget - Work Plan'!F45</f>
        <v>0</v>
      </c>
      <c r="G67" s="515">
        <f>'Budget - Work Plan'!G45</f>
        <v>0</v>
      </c>
      <c r="H67" s="516"/>
      <c r="I67" s="560"/>
      <c r="J67" s="561"/>
      <c r="K67" s="517">
        <f t="shared" si="6"/>
        <v>0</v>
      </c>
      <c r="L67" s="559"/>
      <c r="M67" s="511"/>
    </row>
    <row r="68" spans="1:13" x14ac:dyDescent="0.3">
      <c r="A68" s="483" t="str">
        <f>'Budget - Work Plan'!A46:C46</f>
        <v xml:space="preserve">Total Project HST (13%) that won't be rebated to the Municipality @ 1.76% </v>
      </c>
      <c r="B68" s="484"/>
      <c r="C68" s="485"/>
      <c r="D68" s="486" t="str">
        <f>'Budget - Work Plan'!D46</f>
        <v>(11) Taxes</v>
      </c>
      <c r="E68" s="514">
        <f>'Budget - Work Plan'!E46</f>
        <v>205</v>
      </c>
      <c r="F68" s="514">
        <f>'Budget - Work Plan'!F46</f>
        <v>0</v>
      </c>
      <c r="G68" s="515">
        <f>'Budget - Work Plan'!G46</f>
        <v>205</v>
      </c>
      <c r="H68" s="516"/>
      <c r="I68" s="560"/>
      <c r="J68" s="561"/>
      <c r="K68" s="517">
        <f t="shared" si="6"/>
        <v>0</v>
      </c>
      <c r="L68" s="559"/>
      <c r="M68" s="511"/>
    </row>
    <row r="69" spans="1:13" x14ac:dyDescent="0.3">
      <c r="A69" s="483" t="e">
        <f>_xlfn.SINGLE('Budget - Work Plan'!#REF!)</f>
        <v>#REF!</v>
      </c>
      <c r="B69" s="484"/>
      <c r="C69" s="485"/>
      <c r="D69" s="486" t="e">
        <f>'Budget - Work Plan'!#REF!</f>
        <v>#REF!</v>
      </c>
      <c r="E69" s="514" t="e">
        <f>'Budget - Work Plan'!#REF!</f>
        <v>#REF!</v>
      </c>
      <c r="F69" s="514" t="e">
        <f>'Budget - Work Plan'!#REF!</f>
        <v>#REF!</v>
      </c>
      <c r="G69" s="515" t="e">
        <f>'Budget - Work Plan'!#REF!</f>
        <v>#REF!</v>
      </c>
      <c r="H69" s="516"/>
      <c r="I69" s="560"/>
      <c r="J69" s="561"/>
      <c r="K69" s="517">
        <f t="shared" si="6"/>
        <v>0</v>
      </c>
      <c r="L69" s="559"/>
      <c r="M69" s="511"/>
    </row>
    <row r="70" spans="1:13" x14ac:dyDescent="0.3">
      <c r="A70" s="483" t="e">
        <f>_xlfn.SINGLE('Budget - Work Plan'!#REF!)</f>
        <v>#REF!</v>
      </c>
      <c r="B70" s="484"/>
      <c r="C70" s="485"/>
      <c r="D70" s="486" t="e">
        <f>'Budget - Work Plan'!#REF!</f>
        <v>#REF!</v>
      </c>
      <c r="E70" s="514" t="e">
        <f>'Budget - Work Plan'!#REF!</f>
        <v>#REF!</v>
      </c>
      <c r="F70" s="514" t="e">
        <f>'Budget - Work Plan'!#REF!</f>
        <v>#REF!</v>
      </c>
      <c r="G70" s="515" t="e">
        <f>'Budget - Work Plan'!#REF!</f>
        <v>#REF!</v>
      </c>
      <c r="H70" s="516"/>
      <c r="I70" s="560"/>
      <c r="J70" s="561"/>
      <c r="K70" s="517">
        <f t="shared" si="6"/>
        <v>0</v>
      </c>
      <c r="L70" s="559"/>
      <c r="M70" s="511"/>
    </row>
    <row r="71" spans="1:13" x14ac:dyDescent="0.3">
      <c r="A71" s="483" t="e">
        <f>_xlfn.SINGLE('Budget - Work Plan'!#REF!)</f>
        <v>#REF!</v>
      </c>
      <c r="B71" s="484"/>
      <c r="C71" s="485"/>
      <c r="D71" s="486" t="e">
        <f>'Budget - Work Plan'!#REF!</f>
        <v>#REF!</v>
      </c>
      <c r="E71" s="514" t="e">
        <f>'Budget - Work Plan'!#REF!</f>
        <v>#REF!</v>
      </c>
      <c r="F71" s="514" t="e">
        <f>'Budget - Work Plan'!#REF!</f>
        <v>#REF!</v>
      </c>
      <c r="G71" s="515" t="e">
        <f>'Budget - Work Plan'!#REF!</f>
        <v>#REF!</v>
      </c>
      <c r="H71" s="516"/>
      <c r="I71" s="560"/>
      <c r="J71" s="561"/>
      <c r="K71" s="517">
        <f t="shared" si="6"/>
        <v>0</v>
      </c>
      <c r="L71" s="559"/>
      <c r="M71" s="511"/>
    </row>
    <row r="72" spans="1:13" ht="15" customHeight="1" x14ac:dyDescent="0.3">
      <c r="A72" s="483" t="e">
        <f>_xlfn.SINGLE('Budget - Work Plan'!#REF!)</f>
        <v>#REF!</v>
      </c>
      <c r="B72" s="484"/>
      <c r="C72" s="485"/>
      <c r="D72" s="486" t="e">
        <f>'Budget - Work Plan'!#REF!</f>
        <v>#REF!</v>
      </c>
      <c r="E72" s="514" t="e">
        <f>'Budget - Work Plan'!#REF!</f>
        <v>#REF!</v>
      </c>
      <c r="F72" s="514" t="e">
        <f>'Budget - Work Plan'!#REF!</f>
        <v>#REF!</v>
      </c>
      <c r="G72" s="515" t="e">
        <f>'Budget - Work Plan'!#REF!</f>
        <v>#REF!</v>
      </c>
      <c r="H72" s="516"/>
      <c r="I72" s="560"/>
      <c r="J72" s="561"/>
      <c r="K72" s="517">
        <f t="shared" si="6"/>
        <v>0</v>
      </c>
      <c r="L72" s="559"/>
      <c r="M72" s="511"/>
    </row>
    <row r="73" spans="1:13" ht="15" customHeight="1" x14ac:dyDescent="0.3">
      <c r="A73" s="483" t="e">
        <f>_xlfn.SINGLE('Budget - Work Plan'!#REF!)</f>
        <v>#REF!</v>
      </c>
      <c r="B73" s="484"/>
      <c r="C73" s="485"/>
      <c r="D73" s="486" t="e">
        <f>'Budget - Work Plan'!#REF!</f>
        <v>#REF!</v>
      </c>
      <c r="E73" s="514" t="e">
        <f>'Budget - Work Plan'!#REF!</f>
        <v>#REF!</v>
      </c>
      <c r="F73" s="514" t="e">
        <f>'Budget - Work Plan'!#REF!</f>
        <v>#REF!</v>
      </c>
      <c r="G73" s="515" t="e">
        <f>'Budget - Work Plan'!#REF!</f>
        <v>#REF!</v>
      </c>
      <c r="H73" s="516"/>
      <c r="I73" s="560"/>
      <c r="J73" s="561"/>
      <c r="K73" s="517">
        <f t="shared" si="6"/>
        <v>0</v>
      </c>
      <c r="L73" s="559"/>
      <c r="M73" s="511"/>
    </row>
    <row r="74" spans="1:13" ht="15" customHeight="1" x14ac:dyDescent="0.3">
      <c r="A74" s="483" t="e">
        <f>_xlfn.SINGLE('Budget - Work Plan'!#REF!)</f>
        <v>#REF!</v>
      </c>
      <c r="B74" s="484"/>
      <c r="C74" s="485"/>
      <c r="D74" s="486" t="e">
        <f>'Budget - Work Plan'!#REF!</f>
        <v>#REF!</v>
      </c>
      <c r="E74" s="514" t="e">
        <f>'Budget - Work Plan'!#REF!</f>
        <v>#REF!</v>
      </c>
      <c r="F74" s="514" t="e">
        <f>'Budget - Work Plan'!#REF!</f>
        <v>#REF!</v>
      </c>
      <c r="G74" s="515" t="e">
        <f>'Budget - Work Plan'!#REF!</f>
        <v>#REF!</v>
      </c>
      <c r="H74" s="516"/>
      <c r="I74" s="560"/>
      <c r="J74" s="561"/>
      <c r="K74" s="517">
        <f t="shared" si="6"/>
        <v>0</v>
      </c>
      <c r="L74" s="559"/>
      <c r="M74" s="511"/>
    </row>
    <row r="75" spans="1:13" x14ac:dyDescent="0.3">
      <c r="A75" s="483" t="e">
        <f>_xlfn.SINGLE('Budget - Work Plan'!#REF!)</f>
        <v>#REF!</v>
      </c>
      <c r="B75" s="484"/>
      <c r="C75" s="485"/>
      <c r="D75" s="486" t="e">
        <f>'Budget - Work Plan'!#REF!</f>
        <v>#REF!</v>
      </c>
      <c r="E75" s="514" t="e">
        <f>'Budget - Work Plan'!#REF!</f>
        <v>#REF!</v>
      </c>
      <c r="F75" s="514" t="e">
        <f>'Budget - Work Plan'!#REF!</f>
        <v>#REF!</v>
      </c>
      <c r="G75" s="515" t="e">
        <f>'Budget - Work Plan'!#REF!</f>
        <v>#REF!</v>
      </c>
      <c r="H75" s="516"/>
      <c r="I75" s="560"/>
      <c r="J75" s="561"/>
      <c r="K75" s="517">
        <f t="shared" si="6"/>
        <v>0</v>
      </c>
      <c r="L75" s="559"/>
      <c r="M75" s="511"/>
    </row>
    <row r="76" spans="1:13" x14ac:dyDescent="0.3">
      <c r="A76" s="483" t="e">
        <f>_xlfn.SINGLE('Budget - Work Plan'!#REF!)</f>
        <v>#REF!</v>
      </c>
      <c r="B76" s="484"/>
      <c r="C76" s="485"/>
      <c r="D76" s="486" t="e">
        <f>'Budget - Work Plan'!#REF!</f>
        <v>#REF!</v>
      </c>
      <c r="E76" s="514" t="e">
        <f>'Budget - Work Plan'!#REF!</f>
        <v>#REF!</v>
      </c>
      <c r="F76" s="514" t="e">
        <f>'Budget - Work Plan'!#REF!</f>
        <v>#REF!</v>
      </c>
      <c r="G76" s="515" t="e">
        <f>'Budget - Work Plan'!#REF!</f>
        <v>#REF!</v>
      </c>
      <c r="H76" s="516"/>
      <c r="I76" s="560"/>
      <c r="J76" s="561"/>
      <c r="K76" s="517">
        <f t="shared" si="6"/>
        <v>0</v>
      </c>
      <c r="L76" s="559"/>
      <c r="M76" s="511"/>
    </row>
    <row r="77" spans="1:13" x14ac:dyDescent="0.3">
      <c r="A77" s="483" t="e">
        <f>_xlfn.SINGLE('Budget - Work Plan'!#REF!)</f>
        <v>#REF!</v>
      </c>
      <c r="B77" s="484"/>
      <c r="C77" s="485"/>
      <c r="D77" s="486" t="e">
        <f>'Budget - Work Plan'!#REF!</f>
        <v>#REF!</v>
      </c>
      <c r="E77" s="514" t="e">
        <f>'Budget - Work Plan'!#REF!</f>
        <v>#REF!</v>
      </c>
      <c r="F77" s="514" t="e">
        <f>'Budget - Work Plan'!#REF!</f>
        <v>#REF!</v>
      </c>
      <c r="G77" s="515" t="e">
        <f>'Budget - Work Plan'!#REF!</f>
        <v>#REF!</v>
      </c>
      <c r="H77" s="516"/>
      <c r="I77" s="560"/>
      <c r="J77" s="561"/>
      <c r="K77" s="517">
        <f t="shared" si="6"/>
        <v>0</v>
      </c>
      <c r="L77" s="559"/>
      <c r="M77" s="511"/>
    </row>
    <row r="78" spans="1:13" x14ac:dyDescent="0.3">
      <c r="A78" s="483" t="e">
        <f>_xlfn.SINGLE('Budget - Work Plan'!#REF!)</f>
        <v>#REF!</v>
      </c>
      <c r="B78" s="484"/>
      <c r="C78" s="485"/>
      <c r="D78" s="486" t="e">
        <f>'Budget - Work Plan'!#REF!</f>
        <v>#REF!</v>
      </c>
      <c r="E78" s="514" t="e">
        <f>'Budget - Work Plan'!#REF!</f>
        <v>#REF!</v>
      </c>
      <c r="F78" s="514" t="e">
        <f>'Budget - Work Plan'!#REF!</f>
        <v>#REF!</v>
      </c>
      <c r="G78" s="515" t="e">
        <f>'Budget - Work Plan'!#REF!</f>
        <v>#REF!</v>
      </c>
      <c r="H78" s="516"/>
      <c r="I78" s="560"/>
      <c r="J78" s="561"/>
      <c r="K78" s="517">
        <f t="shared" si="6"/>
        <v>0</v>
      </c>
      <c r="L78" s="559"/>
      <c r="M78" s="511"/>
    </row>
    <row r="79" spans="1:13" x14ac:dyDescent="0.3">
      <c r="A79" s="483" t="e">
        <f>_xlfn.SINGLE('Budget - Work Plan'!#REF!)</f>
        <v>#REF!</v>
      </c>
      <c r="B79" s="484"/>
      <c r="C79" s="485"/>
      <c r="D79" s="486" t="e">
        <f>'Budget - Work Plan'!#REF!</f>
        <v>#REF!</v>
      </c>
      <c r="E79" s="514" t="e">
        <f>'Budget - Work Plan'!#REF!</f>
        <v>#REF!</v>
      </c>
      <c r="F79" s="514" t="e">
        <f>'Budget - Work Plan'!#REF!</f>
        <v>#REF!</v>
      </c>
      <c r="G79" s="515" t="e">
        <f>'Budget - Work Plan'!#REF!</f>
        <v>#REF!</v>
      </c>
      <c r="H79" s="516"/>
      <c r="I79" s="560"/>
      <c r="J79" s="561"/>
      <c r="K79" s="517">
        <f t="shared" si="6"/>
        <v>0</v>
      </c>
      <c r="L79" s="559"/>
      <c r="M79" s="511"/>
    </row>
    <row r="80" spans="1:13" x14ac:dyDescent="0.3">
      <c r="A80" s="483" t="e">
        <f>_xlfn.SINGLE('Budget - Work Plan'!#REF!)</f>
        <v>#REF!</v>
      </c>
      <c r="B80" s="484"/>
      <c r="C80" s="485"/>
      <c r="D80" s="486" t="e">
        <f>'Budget - Work Plan'!#REF!</f>
        <v>#REF!</v>
      </c>
      <c r="E80" s="514" t="e">
        <f>'Budget - Work Plan'!#REF!</f>
        <v>#REF!</v>
      </c>
      <c r="F80" s="514" t="e">
        <f>'Budget - Work Plan'!#REF!</f>
        <v>#REF!</v>
      </c>
      <c r="G80" s="515" t="e">
        <f>'Budget - Work Plan'!#REF!</f>
        <v>#REF!</v>
      </c>
      <c r="H80" s="516"/>
      <c r="I80" s="560"/>
      <c r="J80" s="561"/>
      <c r="K80" s="517">
        <f t="shared" si="6"/>
        <v>0</v>
      </c>
      <c r="L80" s="559"/>
      <c r="M80" s="511"/>
    </row>
    <row r="81" spans="1:13" ht="15" thickBot="1" x14ac:dyDescent="0.35">
      <c r="A81" s="492" t="s">
        <v>138</v>
      </c>
      <c r="B81" s="493"/>
      <c r="C81" s="493"/>
      <c r="D81" s="493"/>
      <c r="E81" s="494" t="e">
        <f>'Budget - Work Plan'!#REF!</f>
        <v>#REF!</v>
      </c>
      <c r="F81" s="494" t="e">
        <f>'Budget - Work Plan'!#REF!</f>
        <v>#REF!</v>
      </c>
      <c r="G81" s="495" t="e">
        <f>'Budget - Work Plan'!#REF!</f>
        <v>#REF!</v>
      </c>
      <c r="H81" s="496"/>
      <c r="I81" s="508">
        <f>SUM(I65:I80)</f>
        <v>0</v>
      </c>
      <c r="J81" s="494">
        <f t="shared" ref="J81:K81" si="7">SUM(J65:J80)</f>
        <v>0</v>
      </c>
      <c r="K81" s="494">
        <f t="shared" si="7"/>
        <v>0</v>
      </c>
      <c r="L81" s="513"/>
      <c r="M81" s="513"/>
    </row>
    <row r="82" spans="1:13" ht="15" customHeight="1" thickBot="1" x14ac:dyDescent="0.35">
      <c r="A82" s="471" t="e">
        <f>'Budget - Work Plan'!#REF!</f>
        <v>#REF!</v>
      </c>
      <c r="B82" s="472" t="e">
        <f>'Budget - Work Plan'!#REF!</f>
        <v>#REF!</v>
      </c>
      <c r="C82" s="472" t="e">
        <f>'Budget - Work Plan'!#REF!</f>
        <v>#REF!</v>
      </c>
      <c r="D82" s="473"/>
      <c r="E82" s="473"/>
      <c r="F82" s="474"/>
      <c r="G82" s="474"/>
      <c r="H82" s="475"/>
      <c r="I82" s="500"/>
      <c r="J82" s="500"/>
      <c r="K82" s="500"/>
      <c r="L82" s="500"/>
      <c r="M82" s="501"/>
    </row>
    <row r="83" spans="1:13" ht="30" customHeight="1" thickBot="1" x14ac:dyDescent="0.35">
      <c r="A83" s="478" t="e">
        <f>'Budget - Work Plan'!#REF!</f>
        <v>#REF!</v>
      </c>
      <c r="B83" s="479"/>
      <c r="C83" s="479"/>
      <c r="D83" s="479"/>
      <c r="E83" s="479"/>
      <c r="F83" s="479"/>
      <c r="G83" s="479"/>
      <c r="H83" s="480"/>
      <c r="I83" s="481"/>
      <c r="J83" s="481"/>
      <c r="K83" s="481"/>
      <c r="L83" s="481"/>
      <c r="M83" s="482"/>
    </row>
    <row r="84" spans="1:13" x14ac:dyDescent="0.3">
      <c r="A84" s="483" t="e">
        <f>_xlfn.SINGLE('Budget - Work Plan'!#REF!)</f>
        <v>#REF!</v>
      </c>
      <c r="B84" s="484"/>
      <c r="C84" s="485"/>
      <c r="D84" s="486" t="e">
        <f>'Budget - Work Plan'!#REF!</f>
        <v>#REF!</v>
      </c>
      <c r="E84" s="487" t="e">
        <f>'Budget - Work Plan'!#REF!</f>
        <v>#REF!</v>
      </c>
      <c r="F84" s="487" t="e">
        <f>'Budget - Work Plan'!#REF!</f>
        <v>#REF!</v>
      </c>
      <c r="G84" s="488" t="e">
        <f>'Budget - Work Plan'!#REF!</f>
        <v>#REF!</v>
      </c>
      <c r="H84" s="489"/>
      <c r="I84" s="557"/>
      <c r="J84" s="558"/>
      <c r="K84" s="490">
        <f>I84+J84</f>
        <v>0</v>
      </c>
      <c r="L84" s="559"/>
      <c r="M84" s="511"/>
    </row>
    <row r="85" spans="1:13" x14ac:dyDescent="0.3">
      <c r="A85" s="483" t="e">
        <f>_xlfn.SINGLE('Budget - Work Plan'!#REF!)</f>
        <v>#REF!</v>
      </c>
      <c r="B85" s="484"/>
      <c r="C85" s="485"/>
      <c r="D85" s="486" t="e">
        <f>'Budget - Work Plan'!#REF!</f>
        <v>#REF!</v>
      </c>
      <c r="E85" s="487" t="e">
        <f>'Budget - Work Plan'!#REF!</f>
        <v>#REF!</v>
      </c>
      <c r="F85" s="487" t="e">
        <f>'Budget - Work Plan'!#REF!</f>
        <v>#REF!</v>
      </c>
      <c r="G85" s="488" t="e">
        <f>'Budget - Work Plan'!#REF!</f>
        <v>#REF!</v>
      </c>
      <c r="H85" s="489"/>
      <c r="I85" s="557"/>
      <c r="J85" s="558"/>
      <c r="K85" s="490">
        <f t="shared" ref="K85:K99" si="8">I85+J85</f>
        <v>0</v>
      </c>
      <c r="L85" s="559"/>
      <c r="M85" s="511"/>
    </row>
    <row r="86" spans="1:13" x14ac:dyDescent="0.3">
      <c r="A86" s="483" t="e">
        <f>_xlfn.SINGLE('Budget - Work Plan'!#REF!)</f>
        <v>#REF!</v>
      </c>
      <c r="B86" s="484"/>
      <c r="C86" s="485"/>
      <c r="D86" s="486" t="e">
        <f>'Budget - Work Plan'!#REF!</f>
        <v>#REF!</v>
      </c>
      <c r="E86" s="487" t="e">
        <f>'Budget - Work Plan'!#REF!</f>
        <v>#REF!</v>
      </c>
      <c r="F86" s="487" t="e">
        <f>'Budget - Work Plan'!#REF!</f>
        <v>#REF!</v>
      </c>
      <c r="G86" s="488" t="e">
        <f>'Budget - Work Plan'!#REF!</f>
        <v>#REF!</v>
      </c>
      <c r="H86" s="489"/>
      <c r="I86" s="557"/>
      <c r="J86" s="558"/>
      <c r="K86" s="490">
        <f t="shared" si="8"/>
        <v>0</v>
      </c>
      <c r="L86" s="559"/>
      <c r="M86" s="511"/>
    </row>
    <row r="87" spans="1:13" x14ac:dyDescent="0.3">
      <c r="A87" s="483" t="e">
        <f>_xlfn.SINGLE('Budget - Work Plan'!#REF!)</f>
        <v>#REF!</v>
      </c>
      <c r="B87" s="484"/>
      <c r="C87" s="485"/>
      <c r="D87" s="486" t="e">
        <f>'Budget - Work Plan'!#REF!</f>
        <v>#REF!</v>
      </c>
      <c r="E87" s="487" t="e">
        <f>'Budget - Work Plan'!#REF!</f>
        <v>#REF!</v>
      </c>
      <c r="F87" s="487" t="e">
        <f>'Budget - Work Plan'!#REF!</f>
        <v>#REF!</v>
      </c>
      <c r="G87" s="488" t="e">
        <f>'Budget - Work Plan'!#REF!</f>
        <v>#REF!</v>
      </c>
      <c r="H87" s="489"/>
      <c r="I87" s="557"/>
      <c r="J87" s="558"/>
      <c r="K87" s="490">
        <f t="shared" si="8"/>
        <v>0</v>
      </c>
      <c r="L87" s="559"/>
      <c r="M87" s="511"/>
    </row>
    <row r="88" spans="1:13" x14ac:dyDescent="0.3">
      <c r="A88" s="483" t="e">
        <f>_xlfn.SINGLE('Budget - Work Plan'!#REF!)</f>
        <v>#REF!</v>
      </c>
      <c r="B88" s="484"/>
      <c r="C88" s="485"/>
      <c r="D88" s="486" t="e">
        <f>'Budget - Work Plan'!#REF!</f>
        <v>#REF!</v>
      </c>
      <c r="E88" s="487" t="e">
        <f>'Budget - Work Plan'!#REF!</f>
        <v>#REF!</v>
      </c>
      <c r="F88" s="487" t="e">
        <f>'Budget - Work Plan'!#REF!</f>
        <v>#REF!</v>
      </c>
      <c r="G88" s="488" t="e">
        <f>'Budget - Work Plan'!#REF!</f>
        <v>#REF!</v>
      </c>
      <c r="H88" s="489"/>
      <c r="I88" s="557"/>
      <c r="J88" s="558"/>
      <c r="K88" s="490">
        <f t="shared" si="8"/>
        <v>0</v>
      </c>
      <c r="L88" s="559"/>
      <c r="M88" s="511"/>
    </row>
    <row r="89" spans="1:13" x14ac:dyDescent="0.3">
      <c r="A89" s="483" t="e">
        <f>_xlfn.SINGLE('Budget - Work Plan'!#REF!)</f>
        <v>#REF!</v>
      </c>
      <c r="B89" s="484"/>
      <c r="C89" s="485"/>
      <c r="D89" s="486" t="e">
        <f>'Budget - Work Plan'!#REF!</f>
        <v>#REF!</v>
      </c>
      <c r="E89" s="487" t="e">
        <f>'Budget - Work Plan'!#REF!</f>
        <v>#REF!</v>
      </c>
      <c r="F89" s="487" t="e">
        <f>'Budget - Work Plan'!#REF!</f>
        <v>#REF!</v>
      </c>
      <c r="G89" s="488" t="e">
        <f>'Budget - Work Plan'!#REF!</f>
        <v>#REF!</v>
      </c>
      <c r="H89" s="489"/>
      <c r="I89" s="557"/>
      <c r="J89" s="558"/>
      <c r="K89" s="490">
        <f t="shared" si="8"/>
        <v>0</v>
      </c>
      <c r="L89" s="559"/>
      <c r="M89" s="511"/>
    </row>
    <row r="90" spans="1:13" x14ac:dyDescent="0.3">
      <c r="A90" s="483" t="e">
        <f>_xlfn.SINGLE('Budget - Work Plan'!#REF!)</f>
        <v>#REF!</v>
      </c>
      <c r="B90" s="484"/>
      <c r="C90" s="485"/>
      <c r="D90" s="486" t="e">
        <f>'Budget - Work Plan'!#REF!</f>
        <v>#REF!</v>
      </c>
      <c r="E90" s="487" t="e">
        <f>'Budget - Work Plan'!#REF!</f>
        <v>#REF!</v>
      </c>
      <c r="F90" s="487" t="e">
        <f>'Budget - Work Plan'!#REF!</f>
        <v>#REF!</v>
      </c>
      <c r="G90" s="488" t="e">
        <f>'Budget - Work Plan'!#REF!</f>
        <v>#REF!</v>
      </c>
      <c r="H90" s="489"/>
      <c r="I90" s="557"/>
      <c r="J90" s="558"/>
      <c r="K90" s="490">
        <f t="shared" si="8"/>
        <v>0</v>
      </c>
      <c r="L90" s="559"/>
      <c r="M90" s="511"/>
    </row>
    <row r="91" spans="1:13" ht="15" customHeight="1" x14ac:dyDescent="0.3">
      <c r="A91" s="483" t="e">
        <f>_xlfn.SINGLE('Budget - Work Plan'!#REF!)</f>
        <v>#REF!</v>
      </c>
      <c r="B91" s="484"/>
      <c r="C91" s="485"/>
      <c r="D91" s="486" t="e">
        <f>'Budget - Work Plan'!#REF!</f>
        <v>#REF!</v>
      </c>
      <c r="E91" s="487" t="e">
        <f>'Budget - Work Plan'!#REF!</f>
        <v>#REF!</v>
      </c>
      <c r="F91" s="487" t="e">
        <f>'Budget - Work Plan'!#REF!</f>
        <v>#REF!</v>
      </c>
      <c r="G91" s="488" t="e">
        <f>'Budget - Work Plan'!#REF!</f>
        <v>#REF!</v>
      </c>
      <c r="H91" s="489"/>
      <c r="I91" s="557"/>
      <c r="J91" s="558"/>
      <c r="K91" s="490">
        <f t="shared" si="8"/>
        <v>0</v>
      </c>
      <c r="L91" s="559"/>
      <c r="M91" s="511"/>
    </row>
    <row r="92" spans="1:13" ht="15" customHeight="1" x14ac:dyDescent="0.3">
      <c r="A92" s="483" t="e">
        <f>_xlfn.SINGLE('Budget - Work Plan'!#REF!)</f>
        <v>#REF!</v>
      </c>
      <c r="B92" s="484"/>
      <c r="C92" s="485"/>
      <c r="D92" s="486" t="e">
        <f>'Budget - Work Plan'!#REF!</f>
        <v>#REF!</v>
      </c>
      <c r="E92" s="487" t="e">
        <f>'Budget - Work Plan'!#REF!</f>
        <v>#REF!</v>
      </c>
      <c r="F92" s="487" t="e">
        <f>'Budget - Work Plan'!#REF!</f>
        <v>#REF!</v>
      </c>
      <c r="G92" s="488" t="e">
        <f>'Budget - Work Plan'!#REF!</f>
        <v>#REF!</v>
      </c>
      <c r="H92" s="489"/>
      <c r="I92" s="557"/>
      <c r="J92" s="558"/>
      <c r="K92" s="490">
        <f t="shared" si="8"/>
        <v>0</v>
      </c>
      <c r="L92" s="559"/>
      <c r="M92" s="511"/>
    </row>
    <row r="93" spans="1:13" ht="15" customHeight="1" x14ac:dyDescent="0.3">
      <c r="A93" s="483" t="e">
        <f>_xlfn.SINGLE('Budget - Work Plan'!#REF!)</f>
        <v>#REF!</v>
      </c>
      <c r="B93" s="484"/>
      <c r="C93" s="485"/>
      <c r="D93" s="486" t="e">
        <f>'Budget - Work Plan'!#REF!</f>
        <v>#REF!</v>
      </c>
      <c r="E93" s="487" t="e">
        <f>'Budget - Work Plan'!#REF!</f>
        <v>#REF!</v>
      </c>
      <c r="F93" s="487" t="e">
        <f>'Budget - Work Plan'!#REF!</f>
        <v>#REF!</v>
      </c>
      <c r="G93" s="488" t="e">
        <f>'Budget - Work Plan'!#REF!</f>
        <v>#REF!</v>
      </c>
      <c r="H93" s="489"/>
      <c r="I93" s="557"/>
      <c r="J93" s="558"/>
      <c r="K93" s="490">
        <f t="shared" si="8"/>
        <v>0</v>
      </c>
      <c r="L93" s="559"/>
      <c r="M93" s="511"/>
    </row>
    <row r="94" spans="1:13" x14ac:dyDescent="0.3">
      <c r="A94" s="483" t="e">
        <f>_xlfn.SINGLE('Budget - Work Plan'!#REF!)</f>
        <v>#REF!</v>
      </c>
      <c r="B94" s="484"/>
      <c r="C94" s="485"/>
      <c r="D94" s="486" t="e">
        <f>'Budget - Work Plan'!#REF!</f>
        <v>#REF!</v>
      </c>
      <c r="E94" s="487" t="e">
        <f>'Budget - Work Plan'!#REF!</f>
        <v>#REF!</v>
      </c>
      <c r="F94" s="487" t="e">
        <f>'Budget - Work Plan'!#REF!</f>
        <v>#REF!</v>
      </c>
      <c r="G94" s="488" t="e">
        <f>'Budget - Work Plan'!#REF!</f>
        <v>#REF!</v>
      </c>
      <c r="H94" s="489"/>
      <c r="I94" s="557"/>
      <c r="J94" s="558"/>
      <c r="K94" s="490">
        <f t="shared" si="8"/>
        <v>0</v>
      </c>
      <c r="L94" s="559"/>
      <c r="M94" s="511"/>
    </row>
    <row r="95" spans="1:13" x14ac:dyDescent="0.3">
      <c r="A95" s="483" t="e">
        <f>_xlfn.SINGLE('Budget - Work Plan'!#REF!)</f>
        <v>#REF!</v>
      </c>
      <c r="B95" s="484"/>
      <c r="C95" s="485"/>
      <c r="D95" s="486" t="e">
        <f>'Budget - Work Plan'!#REF!</f>
        <v>#REF!</v>
      </c>
      <c r="E95" s="487" t="e">
        <f>'Budget - Work Plan'!#REF!</f>
        <v>#REF!</v>
      </c>
      <c r="F95" s="487" t="e">
        <f>'Budget - Work Plan'!#REF!</f>
        <v>#REF!</v>
      </c>
      <c r="G95" s="488" t="e">
        <f>'Budget - Work Plan'!#REF!</f>
        <v>#REF!</v>
      </c>
      <c r="H95" s="489"/>
      <c r="I95" s="557"/>
      <c r="J95" s="558"/>
      <c r="K95" s="490">
        <f t="shared" si="8"/>
        <v>0</v>
      </c>
      <c r="L95" s="559"/>
      <c r="M95" s="511"/>
    </row>
    <row r="96" spans="1:13" x14ac:dyDescent="0.3">
      <c r="A96" s="483" t="e">
        <f>_xlfn.SINGLE('Budget - Work Plan'!#REF!)</f>
        <v>#REF!</v>
      </c>
      <c r="B96" s="484"/>
      <c r="C96" s="485"/>
      <c r="D96" s="486" t="e">
        <f>'Budget - Work Plan'!#REF!</f>
        <v>#REF!</v>
      </c>
      <c r="E96" s="487" t="e">
        <f>'Budget - Work Plan'!#REF!</f>
        <v>#REF!</v>
      </c>
      <c r="F96" s="487" t="e">
        <f>'Budget - Work Plan'!#REF!</f>
        <v>#REF!</v>
      </c>
      <c r="G96" s="488" t="e">
        <f>'Budget - Work Plan'!#REF!</f>
        <v>#REF!</v>
      </c>
      <c r="H96" s="489"/>
      <c r="I96" s="557"/>
      <c r="J96" s="558"/>
      <c r="K96" s="490">
        <f t="shared" si="8"/>
        <v>0</v>
      </c>
      <c r="L96" s="559"/>
      <c r="M96" s="511"/>
    </row>
    <row r="97" spans="1:13" x14ac:dyDescent="0.3">
      <c r="A97" s="483" t="e">
        <f>_xlfn.SINGLE('Budget - Work Plan'!#REF!)</f>
        <v>#REF!</v>
      </c>
      <c r="B97" s="484"/>
      <c r="C97" s="485"/>
      <c r="D97" s="486" t="e">
        <f>'Budget - Work Plan'!#REF!</f>
        <v>#REF!</v>
      </c>
      <c r="E97" s="487" t="e">
        <f>'Budget - Work Plan'!#REF!</f>
        <v>#REF!</v>
      </c>
      <c r="F97" s="487" t="e">
        <f>'Budget - Work Plan'!#REF!</f>
        <v>#REF!</v>
      </c>
      <c r="G97" s="488" t="e">
        <f>'Budget - Work Plan'!#REF!</f>
        <v>#REF!</v>
      </c>
      <c r="H97" s="489"/>
      <c r="I97" s="557"/>
      <c r="J97" s="558"/>
      <c r="K97" s="490">
        <f t="shared" si="8"/>
        <v>0</v>
      </c>
      <c r="L97" s="559"/>
      <c r="M97" s="511"/>
    </row>
    <row r="98" spans="1:13" x14ac:dyDescent="0.3">
      <c r="A98" s="483" t="e">
        <f>_xlfn.SINGLE('Budget - Work Plan'!#REF!)</f>
        <v>#REF!</v>
      </c>
      <c r="B98" s="484"/>
      <c r="C98" s="485"/>
      <c r="D98" s="486" t="e">
        <f>'Budget - Work Plan'!#REF!</f>
        <v>#REF!</v>
      </c>
      <c r="E98" s="487" t="e">
        <f>'Budget - Work Plan'!#REF!</f>
        <v>#REF!</v>
      </c>
      <c r="F98" s="487" t="e">
        <f>'Budget - Work Plan'!#REF!</f>
        <v>#REF!</v>
      </c>
      <c r="G98" s="488" t="e">
        <f>'Budget - Work Plan'!#REF!</f>
        <v>#REF!</v>
      </c>
      <c r="H98" s="489"/>
      <c r="I98" s="557"/>
      <c r="J98" s="558"/>
      <c r="K98" s="490">
        <f t="shared" si="8"/>
        <v>0</v>
      </c>
      <c r="L98" s="559"/>
      <c r="M98" s="511"/>
    </row>
    <row r="99" spans="1:13" x14ac:dyDescent="0.3">
      <c r="A99" s="483" t="e">
        <f>_xlfn.SINGLE('Budget - Work Plan'!#REF!)</f>
        <v>#REF!</v>
      </c>
      <c r="B99" s="484"/>
      <c r="C99" s="485"/>
      <c r="D99" s="486" t="e">
        <f>'Budget - Work Plan'!#REF!</f>
        <v>#REF!</v>
      </c>
      <c r="E99" s="487" t="e">
        <f>'Budget - Work Plan'!#REF!</f>
        <v>#REF!</v>
      </c>
      <c r="F99" s="487" t="e">
        <f>'Budget - Work Plan'!#REF!</f>
        <v>#REF!</v>
      </c>
      <c r="G99" s="488" t="e">
        <f>'Budget - Work Plan'!#REF!</f>
        <v>#REF!</v>
      </c>
      <c r="H99" s="489"/>
      <c r="I99" s="557"/>
      <c r="J99" s="558"/>
      <c r="K99" s="490">
        <f t="shared" si="8"/>
        <v>0</v>
      </c>
      <c r="L99" s="559"/>
      <c r="M99" s="511"/>
    </row>
    <row r="100" spans="1:13" ht="15" thickBot="1" x14ac:dyDescent="0.35">
      <c r="A100" s="492" t="s">
        <v>138</v>
      </c>
      <c r="B100" s="493"/>
      <c r="C100" s="493"/>
      <c r="D100" s="493"/>
      <c r="E100" s="494">
        <f>'Budget - Work Plan'!E47</f>
        <v>0</v>
      </c>
      <c r="F100" s="494">
        <f>'Budget - Work Plan'!F47</f>
        <v>0</v>
      </c>
      <c r="G100" s="512">
        <f>'Budget - Work Plan'!G47</f>
        <v>205</v>
      </c>
      <c r="H100" s="496"/>
      <c r="I100" s="508">
        <f>SUM(I84:I99)</f>
        <v>0</v>
      </c>
      <c r="J100" s="494">
        <f t="shared" ref="J100:K100" si="9">SUM(J84:J99)</f>
        <v>0</v>
      </c>
      <c r="K100" s="494">
        <f t="shared" si="9"/>
        <v>0</v>
      </c>
      <c r="L100" s="513"/>
      <c r="M100" s="513"/>
    </row>
    <row r="101" spans="1:13" ht="15" customHeight="1" thickBot="1" x14ac:dyDescent="0.35">
      <c r="A101" s="471" t="str">
        <f>'Budget - Work Plan'!A48</f>
        <v>Milestone 5: Report on Process to FCM funder</v>
      </c>
      <c r="B101" s="472">
        <f>'Budget - Work Plan'!B48</f>
        <v>44837</v>
      </c>
      <c r="C101" s="472">
        <f>'Budget - Work Plan'!C48</f>
        <v>45016</v>
      </c>
      <c r="D101" s="473"/>
      <c r="E101" s="473"/>
      <c r="F101" s="474"/>
      <c r="G101" s="474"/>
      <c r="H101" s="475"/>
      <c r="I101" s="500"/>
      <c r="J101" s="500"/>
      <c r="K101" s="500"/>
      <c r="L101" s="500"/>
      <c r="M101" s="501"/>
    </row>
    <row r="102" spans="1:13" ht="30" customHeight="1" thickBot="1" x14ac:dyDescent="0.35">
      <c r="A102" s="478" t="str">
        <f>'Budget - Work Plan'!A49</f>
        <v xml:space="preserve">Prepare a report on FCM / GMF 17564 Town of Cobourg F5-CEF Agreement for funder. </v>
      </c>
      <c r="B102" s="479"/>
      <c r="C102" s="479"/>
      <c r="D102" s="479"/>
      <c r="E102" s="479"/>
      <c r="F102" s="479"/>
      <c r="G102" s="479"/>
      <c r="H102" s="480"/>
      <c r="I102" s="481"/>
      <c r="J102" s="481"/>
      <c r="K102" s="481"/>
      <c r="L102" s="481"/>
      <c r="M102" s="482"/>
    </row>
    <row r="103" spans="1:13" x14ac:dyDescent="0.3">
      <c r="A103" s="483" t="str">
        <f>'Budget - Work Plan'!A50:C50</f>
        <v>[Add task description here]</v>
      </c>
      <c r="B103" s="484"/>
      <c r="C103" s="485"/>
      <c r="D103" s="486">
        <f>'Budget - Work Plan'!D50</f>
        <v>0</v>
      </c>
      <c r="E103" s="514">
        <f>'Budget - Work Plan'!E50</f>
        <v>0</v>
      </c>
      <c r="F103" s="514">
        <f>'Budget - Work Plan'!F50</f>
        <v>0</v>
      </c>
      <c r="G103" s="515">
        <f>'Budget - Work Plan'!G50</f>
        <v>0</v>
      </c>
      <c r="H103" s="516"/>
      <c r="I103" s="557"/>
      <c r="J103" s="558"/>
      <c r="K103" s="490">
        <f>I103+J103</f>
        <v>0</v>
      </c>
      <c r="L103" s="559"/>
      <c r="M103" s="511"/>
    </row>
    <row r="104" spans="1:13" x14ac:dyDescent="0.3">
      <c r="A104" s="483" t="str">
        <f>'Budget - Work Plan'!A51:C51</f>
        <v>[Add task description here]</v>
      </c>
      <c r="B104" s="484"/>
      <c r="C104" s="485"/>
      <c r="D104" s="486">
        <f>'Budget - Work Plan'!D51</f>
        <v>0</v>
      </c>
      <c r="E104" s="514">
        <f>'Budget - Work Plan'!E51</f>
        <v>0</v>
      </c>
      <c r="F104" s="514">
        <f>'Budget - Work Plan'!F51</f>
        <v>0</v>
      </c>
      <c r="G104" s="515">
        <f>'Budget - Work Plan'!G51</f>
        <v>0</v>
      </c>
      <c r="H104" s="516"/>
      <c r="I104" s="557"/>
      <c r="J104" s="558"/>
      <c r="K104" s="490">
        <f t="shared" ref="K104:K118" si="10">I104+J104</f>
        <v>0</v>
      </c>
      <c r="L104" s="559"/>
      <c r="M104" s="511"/>
    </row>
    <row r="105" spans="1:13" x14ac:dyDescent="0.3">
      <c r="A105" s="483" t="str">
        <f>'Budget - Work Plan'!A52:C52</f>
        <v>[Add task description here]</v>
      </c>
      <c r="B105" s="484"/>
      <c r="C105" s="485"/>
      <c r="D105" s="486">
        <f>'Budget - Work Plan'!D52</f>
        <v>0</v>
      </c>
      <c r="E105" s="514">
        <f>'Budget - Work Plan'!E52</f>
        <v>0</v>
      </c>
      <c r="F105" s="514">
        <f>'Budget - Work Plan'!F52</f>
        <v>0</v>
      </c>
      <c r="G105" s="515">
        <f>'Budget - Work Plan'!G52</f>
        <v>0</v>
      </c>
      <c r="H105" s="516"/>
      <c r="I105" s="557"/>
      <c r="J105" s="558"/>
      <c r="K105" s="490">
        <f t="shared" si="10"/>
        <v>0</v>
      </c>
      <c r="L105" s="559"/>
      <c r="M105" s="511"/>
    </row>
    <row r="106" spans="1:13" x14ac:dyDescent="0.3">
      <c r="A106" s="483" t="str">
        <f>'Budget - Work Plan'!A53:C53</f>
        <v>[Add task description here]</v>
      </c>
      <c r="B106" s="484"/>
      <c r="C106" s="485"/>
      <c r="D106" s="486">
        <f>'Budget - Work Plan'!D53</f>
        <v>0</v>
      </c>
      <c r="E106" s="514">
        <f>'Budget - Work Plan'!E53</f>
        <v>0</v>
      </c>
      <c r="F106" s="514">
        <f>'Budget - Work Plan'!F53</f>
        <v>0</v>
      </c>
      <c r="G106" s="515">
        <f>'Budget - Work Plan'!G53</f>
        <v>0</v>
      </c>
      <c r="H106" s="516"/>
      <c r="I106" s="557"/>
      <c r="J106" s="558"/>
      <c r="K106" s="490">
        <f t="shared" si="10"/>
        <v>0</v>
      </c>
      <c r="L106" s="559"/>
      <c r="M106" s="511"/>
    </row>
    <row r="107" spans="1:13" x14ac:dyDescent="0.3">
      <c r="A107" s="483" t="str">
        <f>'Budget - Work Plan'!A54:C54</f>
        <v>[Add task description here]</v>
      </c>
      <c r="B107" s="484"/>
      <c r="C107" s="485"/>
      <c r="D107" s="486">
        <f>'Budget - Work Plan'!D54</f>
        <v>0</v>
      </c>
      <c r="E107" s="514">
        <f>'Budget - Work Plan'!E54</f>
        <v>0</v>
      </c>
      <c r="F107" s="514">
        <f>'Budget - Work Plan'!F54</f>
        <v>0</v>
      </c>
      <c r="G107" s="515">
        <f>'Budget - Work Plan'!G54</f>
        <v>0</v>
      </c>
      <c r="H107" s="516"/>
      <c r="I107" s="557"/>
      <c r="J107" s="558"/>
      <c r="K107" s="490">
        <f t="shared" si="10"/>
        <v>0</v>
      </c>
      <c r="L107" s="559"/>
      <c r="M107" s="511"/>
    </row>
    <row r="108" spans="1:13" x14ac:dyDescent="0.3">
      <c r="A108" s="483" t="str">
        <f>'Budget - Work Plan'!A55:C55</f>
        <v>[Add task description here]</v>
      </c>
      <c r="B108" s="484"/>
      <c r="C108" s="485"/>
      <c r="D108" s="486">
        <f>'Budget - Work Plan'!D55</f>
        <v>0</v>
      </c>
      <c r="E108" s="514">
        <f>'Budget - Work Plan'!E55</f>
        <v>0</v>
      </c>
      <c r="F108" s="514">
        <f>'Budget - Work Plan'!F55</f>
        <v>0</v>
      </c>
      <c r="G108" s="515">
        <f>'Budget - Work Plan'!G55</f>
        <v>0</v>
      </c>
      <c r="H108" s="516"/>
      <c r="I108" s="557"/>
      <c r="J108" s="558"/>
      <c r="K108" s="490">
        <f t="shared" si="10"/>
        <v>0</v>
      </c>
      <c r="L108" s="559"/>
      <c r="M108" s="511"/>
    </row>
    <row r="109" spans="1:13" x14ac:dyDescent="0.3">
      <c r="A109" s="483" t="str">
        <f>'Budget - Work Plan'!A56:C56</f>
        <v>[Add task description here]</v>
      </c>
      <c r="B109" s="484"/>
      <c r="C109" s="485"/>
      <c r="D109" s="486">
        <f>'Budget - Work Plan'!D56</f>
        <v>0</v>
      </c>
      <c r="E109" s="514">
        <f>'Budget - Work Plan'!E56</f>
        <v>0</v>
      </c>
      <c r="F109" s="514">
        <f>'Budget - Work Plan'!F56</f>
        <v>0</v>
      </c>
      <c r="G109" s="515">
        <f>'Budget - Work Plan'!G56</f>
        <v>0</v>
      </c>
      <c r="H109" s="516"/>
      <c r="I109" s="557"/>
      <c r="J109" s="558"/>
      <c r="K109" s="490">
        <f t="shared" si="10"/>
        <v>0</v>
      </c>
      <c r="L109" s="559"/>
      <c r="M109" s="511"/>
    </row>
    <row r="110" spans="1:13" x14ac:dyDescent="0.3">
      <c r="A110" s="483" t="str">
        <f>'Budget - Work Plan'!A57:C57</f>
        <v>[Add task description here]</v>
      </c>
      <c r="B110" s="484"/>
      <c r="C110" s="485"/>
      <c r="D110" s="486">
        <f>'Budget - Work Plan'!D57</f>
        <v>0</v>
      </c>
      <c r="E110" s="514">
        <f>'Budget - Work Plan'!E57</f>
        <v>0</v>
      </c>
      <c r="F110" s="514">
        <f>'Budget - Work Plan'!F57</f>
        <v>0</v>
      </c>
      <c r="G110" s="515">
        <f>'Budget - Work Plan'!G57</f>
        <v>0</v>
      </c>
      <c r="H110" s="516"/>
      <c r="I110" s="557"/>
      <c r="J110" s="558"/>
      <c r="K110" s="490">
        <f t="shared" si="10"/>
        <v>0</v>
      </c>
      <c r="L110" s="559"/>
      <c r="M110" s="511"/>
    </row>
    <row r="111" spans="1:13" x14ac:dyDescent="0.3">
      <c r="A111" s="483" t="str">
        <f>'Budget - Work Plan'!A58:C58</f>
        <v>[Add task description here]</v>
      </c>
      <c r="B111" s="484"/>
      <c r="C111" s="485"/>
      <c r="D111" s="486">
        <f>'Budget - Work Plan'!D58</f>
        <v>0</v>
      </c>
      <c r="E111" s="514">
        <f>'Budget - Work Plan'!E58</f>
        <v>0</v>
      </c>
      <c r="F111" s="514">
        <f>'Budget - Work Plan'!F58</f>
        <v>0</v>
      </c>
      <c r="G111" s="515">
        <f>'Budget - Work Plan'!G58</f>
        <v>0</v>
      </c>
      <c r="H111" s="516"/>
      <c r="I111" s="557"/>
      <c r="J111" s="558"/>
      <c r="K111" s="490">
        <f t="shared" si="10"/>
        <v>0</v>
      </c>
      <c r="L111" s="559"/>
      <c r="M111" s="511"/>
    </row>
    <row r="112" spans="1:13" x14ac:dyDescent="0.3">
      <c r="A112" s="483" t="str">
        <f>'Budget - Work Plan'!A59:C59</f>
        <v>[Add task description here]</v>
      </c>
      <c r="B112" s="484"/>
      <c r="C112" s="485"/>
      <c r="D112" s="486">
        <f>'Budget - Work Plan'!D59</f>
        <v>0</v>
      </c>
      <c r="E112" s="514">
        <f>'Budget - Work Plan'!E59</f>
        <v>0</v>
      </c>
      <c r="F112" s="514">
        <f>'Budget - Work Plan'!F59</f>
        <v>0</v>
      </c>
      <c r="G112" s="515">
        <f>'Budget - Work Plan'!G59</f>
        <v>0</v>
      </c>
      <c r="H112" s="516"/>
      <c r="I112" s="557"/>
      <c r="J112" s="558"/>
      <c r="K112" s="490">
        <f t="shared" si="10"/>
        <v>0</v>
      </c>
      <c r="L112" s="559"/>
      <c r="M112" s="511"/>
    </row>
    <row r="113" spans="1:13" x14ac:dyDescent="0.3">
      <c r="A113" s="483" t="str">
        <f>'Budget - Work Plan'!A60:C60</f>
        <v>[Add task description here]</v>
      </c>
      <c r="B113" s="484"/>
      <c r="C113" s="485"/>
      <c r="D113" s="486">
        <f>'Budget - Work Plan'!D60</f>
        <v>0</v>
      </c>
      <c r="E113" s="514">
        <f>'Budget - Work Plan'!E60</f>
        <v>0</v>
      </c>
      <c r="F113" s="514">
        <f>'Budget - Work Plan'!F60</f>
        <v>0</v>
      </c>
      <c r="G113" s="515">
        <f>'Budget - Work Plan'!G60</f>
        <v>0</v>
      </c>
      <c r="H113" s="516"/>
      <c r="I113" s="557"/>
      <c r="J113" s="558"/>
      <c r="K113" s="490">
        <f t="shared" si="10"/>
        <v>0</v>
      </c>
      <c r="L113" s="559"/>
      <c r="M113" s="511"/>
    </row>
    <row r="114" spans="1:13" x14ac:dyDescent="0.3">
      <c r="A114" s="483" t="str">
        <f>'Budget - Work Plan'!A61:C61</f>
        <v>[Add task description here]</v>
      </c>
      <c r="B114" s="484"/>
      <c r="C114" s="485"/>
      <c r="D114" s="486">
        <f>'Budget - Work Plan'!D61</f>
        <v>0</v>
      </c>
      <c r="E114" s="514">
        <f>'Budget - Work Plan'!E61</f>
        <v>0</v>
      </c>
      <c r="F114" s="514">
        <f>'Budget - Work Plan'!F61</f>
        <v>0</v>
      </c>
      <c r="G114" s="515">
        <f>'Budget - Work Plan'!G61</f>
        <v>0</v>
      </c>
      <c r="H114" s="516"/>
      <c r="I114" s="557"/>
      <c r="J114" s="558"/>
      <c r="K114" s="490">
        <f t="shared" si="10"/>
        <v>0</v>
      </c>
      <c r="L114" s="559"/>
      <c r="M114" s="511"/>
    </row>
    <row r="115" spans="1:13" x14ac:dyDescent="0.3">
      <c r="A115" s="483" t="str">
        <f>'Budget - Work Plan'!A62:C62</f>
        <v>[Add task description here]</v>
      </c>
      <c r="B115" s="484"/>
      <c r="C115" s="485"/>
      <c r="D115" s="486">
        <f>'Budget - Work Plan'!D62</f>
        <v>0</v>
      </c>
      <c r="E115" s="514">
        <f>'Budget - Work Plan'!E62</f>
        <v>0</v>
      </c>
      <c r="F115" s="514">
        <f>'Budget - Work Plan'!F62</f>
        <v>0</v>
      </c>
      <c r="G115" s="515">
        <f>'Budget - Work Plan'!G62</f>
        <v>0</v>
      </c>
      <c r="H115" s="516"/>
      <c r="I115" s="557"/>
      <c r="J115" s="558"/>
      <c r="K115" s="490">
        <f t="shared" si="10"/>
        <v>0</v>
      </c>
      <c r="L115" s="559"/>
      <c r="M115" s="511"/>
    </row>
    <row r="116" spans="1:13" x14ac:dyDescent="0.3">
      <c r="A116" s="483" t="str">
        <f>'Budget - Work Plan'!A63:C63</f>
        <v>[Add task description here]</v>
      </c>
      <c r="B116" s="484"/>
      <c r="C116" s="485"/>
      <c r="D116" s="486">
        <f>'Budget - Work Plan'!D63</f>
        <v>0</v>
      </c>
      <c r="E116" s="514">
        <f>'Budget - Work Plan'!E63</f>
        <v>0</v>
      </c>
      <c r="F116" s="514">
        <f>'Budget - Work Plan'!F63</f>
        <v>0</v>
      </c>
      <c r="G116" s="515">
        <f>'Budget - Work Plan'!G63</f>
        <v>0</v>
      </c>
      <c r="H116" s="516"/>
      <c r="I116" s="557"/>
      <c r="J116" s="558"/>
      <c r="K116" s="490">
        <f t="shared" si="10"/>
        <v>0</v>
      </c>
      <c r="L116" s="559"/>
      <c r="M116" s="511"/>
    </row>
    <row r="117" spans="1:13" ht="15" customHeight="1" x14ac:dyDescent="0.3">
      <c r="A117" s="483" t="str">
        <f>'Budget - Work Plan'!A64:C64</f>
        <v>[Add task description here]</v>
      </c>
      <c r="B117" s="484"/>
      <c r="C117" s="485"/>
      <c r="D117" s="486">
        <f>'Budget - Work Plan'!D64</f>
        <v>0</v>
      </c>
      <c r="E117" s="514">
        <f>'Budget - Work Plan'!E64</f>
        <v>0</v>
      </c>
      <c r="F117" s="514">
        <f>'Budget - Work Plan'!F64</f>
        <v>0</v>
      </c>
      <c r="G117" s="515">
        <f>'Budget - Work Plan'!G64</f>
        <v>0</v>
      </c>
      <c r="H117" s="516"/>
      <c r="I117" s="557"/>
      <c r="J117" s="558"/>
      <c r="K117" s="490">
        <f t="shared" si="10"/>
        <v>0</v>
      </c>
      <c r="L117" s="559"/>
      <c r="M117" s="511"/>
    </row>
    <row r="118" spans="1:13" ht="15" customHeight="1" x14ac:dyDescent="0.3">
      <c r="A118" s="483" t="str">
        <f>'Budget - Work Plan'!A65:C65</f>
        <v>[Add task description here]</v>
      </c>
      <c r="B118" s="484"/>
      <c r="C118" s="485"/>
      <c r="D118" s="486">
        <f>'Budget - Work Plan'!D65</f>
        <v>0</v>
      </c>
      <c r="E118" s="514">
        <f>'Budget - Work Plan'!E65</f>
        <v>0</v>
      </c>
      <c r="F118" s="514">
        <f>'Budget - Work Plan'!F65</f>
        <v>0</v>
      </c>
      <c r="G118" s="515">
        <f>'Budget - Work Plan'!G65</f>
        <v>0</v>
      </c>
      <c r="H118" s="516"/>
      <c r="I118" s="557"/>
      <c r="J118" s="558"/>
      <c r="K118" s="490">
        <f t="shared" si="10"/>
        <v>0</v>
      </c>
      <c r="L118" s="559"/>
      <c r="M118" s="511"/>
    </row>
    <row r="119" spans="1:13" ht="15" customHeight="1" thickBot="1" x14ac:dyDescent="0.35">
      <c r="A119" s="492" t="s">
        <v>138</v>
      </c>
      <c r="B119" s="493"/>
      <c r="C119" s="493"/>
      <c r="D119" s="493"/>
      <c r="E119" s="518">
        <f>'Budget - Work Plan'!E66</f>
        <v>0</v>
      </c>
      <c r="F119" s="518">
        <f>'Budget - Work Plan'!F66</f>
        <v>0</v>
      </c>
      <c r="G119" s="495">
        <f ca="1">'Budget - Work Plan'!G66</f>
        <v>0</v>
      </c>
      <c r="H119" s="496"/>
      <c r="I119" s="518">
        <f>SUM(I103:I118)</f>
        <v>0</v>
      </c>
      <c r="J119" s="518">
        <f t="shared" ref="J119:K119" si="11">SUM(J103:J118)</f>
        <v>0</v>
      </c>
      <c r="K119" s="519">
        <f t="shared" si="11"/>
        <v>0</v>
      </c>
      <c r="L119" s="520"/>
      <c r="M119" s="520"/>
    </row>
    <row r="120" spans="1:13" s="469" customFormat="1" ht="22.5" customHeight="1" thickBot="1" x14ac:dyDescent="0.35">
      <c r="A120" s="521" t="s">
        <v>84</v>
      </c>
      <c r="B120" s="521"/>
      <c r="C120" s="521"/>
      <c r="D120" s="521"/>
      <c r="E120" s="522">
        <f ca="1">'Budget - Work Plan'!E67</f>
        <v>89400</v>
      </c>
      <c r="F120" s="522">
        <f ca="1">'Budget - Work Plan'!F67</f>
        <v>0</v>
      </c>
      <c r="G120" s="523">
        <f ca="1">'Budget - Work Plan'!G69</f>
        <v>89400</v>
      </c>
      <c r="H120" s="524"/>
      <c r="I120" s="525">
        <f>SUM(I119+I100+I81+I62+I43+I24)</f>
        <v>0</v>
      </c>
      <c r="J120" s="525">
        <f t="shared" ref="J120:K120" si="12">SUM(J119+J100+J81+J62+J43+J24)</f>
        <v>0</v>
      </c>
      <c r="K120" s="526">
        <f t="shared" si="12"/>
        <v>0</v>
      </c>
    </row>
    <row r="121" spans="1:13" s="469" customFormat="1" ht="22.5" customHeight="1" thickBot="1" x14ac:dyDescent="0.35">
      <c r="A121" s="355"/>
      <c r="B121" s="355"/>
      <c r="C121" s="355"/>
      <c r="D121" s="355"/>
      <c r="E121" s="527"/>
      <c r="F121" s="527"/>
      <c r="G121" s="527"/>
      <c r="H121" s="527"/>
      <c r="I121" s="527"/>
      <c r="J121" s="527"/>
    </row>
    <row r="122" spans="1:13" s="469" customFormat="1" ht="56.25" customHeight="1" thickBot="1" x14ac:dyDescent="0.35">
      <c r="A122" s="528" t="s">
        <v>349</v>
      </c>
      <c r="B122" s="528"/>
      <c r="C122" s="528"/>
      <c r="D122" s="528"/>
      <c r="E122" s="528"/>
      <c r="F122" s="529" t="s">
        <v>350</v>
      </c>
      <c r="G122" s="530" t="s">
        <v>204</v>
      </c>
      <c r="H122" s="531"/>
      <c r="I122" s="532" t="s">
        <v>351</v>
      </c>
      <c r="J122" s="239"/>
      <c r="K122" s="533">
        <f>I120</f>
        <v>0</v>
      </c>
    </row>
    <row r="123" spans="1:13" s="469" customFormat="1" ht="22.5" customHeight="1" thickBot="1" x14ac:dyDescent="0.35">
      <c r="A123" s="534" t="s">
        <v>352</v>
      </c>
      <c r="B123" s="535"/>
      <c r="C123" s="535"/>
      <c r="D123" s="535"/>
      <c r="E123" s="536"/>
      <c r="F123" s="537"/>
      <c r="G123" s="538"/>
      <c r="H123" s="539"/>
      <c r="I123" s="532" t="s">
        <v>353</v>
      </c>
      <c r="J123" s="239"/>
      <c r="K123" s="533">
        <f>MIN(G127,K122/2-G126)</f>
        <v>0</v>
      </c>
    </row>
    <row r="124" spans="1:13" s="469" customFormat="1" ht="22.5" customHeight="1" x14ac:dyDescent="0.3">
      <c r="A124" s="534" t="s">
        <v>354</v>
      </c>
      <c r="B124" s="535"/>
      <c r="C124" s="535"/>
      <c r="D124" s="535"/>
      <c r="E124" s="536"/>
      <c r="F124" s="537"/>
      <c r="G124" s="538"/>
      <c r="H124" s="539"/>
      <c r="I124" s="527"/>
      <c r="J124" s="527"/>
    </row>
    <row r="125" spans="1:13" s="469" customFormat="1" ht="22.5" customHeight="1" x14ac:dyDescent="0.3">
      <c r="A125" s="534" t="s">
        <v>355</v>
      </c>
      <c r="B125" s="535"/>
      <c r="C125" s="535"/>
      <c r="D125" s="535"/>
      <c r="E125" s="536"/>
      <c r="F125" s="537"/>
      <c r="G125" s="538"/>
      <c r="H125" s="539"/>
      <c r="I125" s="527"/>
      <c r="J125" s="527"/>
    </row>
    <row r="126" spans="1:13" s="469" customFormat="1" ht="22.5" customHeight="1" x14ac:dyDescent="0.3">
      <c r="A126" s="540" t="s">
        <v>356</v>
      </c>
      <c r="B126" s="541"/>
      <c r="C126" s="541"/>
      <c r="D126" s="541"/>
      <c r="E126" s="535"/>
      <c r="F126" s="542"/>
      <c r="G126" s="543"/>
      <c r="H126" s="544"/>
      <c r="I126" s="527"/>
      <c r="J126" s="527"/>
    </row>
    <row r="127" spans="1:13" s="469" customFormat="1" ht="22.5" customHeight="1" x14ac:dyDescent="0.3">
      <c r="A127" s="534" t="s">
        <v>357</v>
      </c>
      <c r="B127" s="535"/>
      <c r="C127" s="535"/>
      <c r="D127" s="535"/>
      <c r="E127" s="535"/>
      <c r="F127" s="545"/>
      <c r="G127" s="546">
        <f>SUMIF((F123:F125),"=x",G123:G125)-G126</f>
        <v>0</v>
      </c>
      <c r="H127" s="547"/>
      <c r="I127" s="527"/>
      <c r="J127" s="527"/>
    </row>
    <row r="128" spans="1:13" s="469" customFormat="1" ht="22.5" customHeight="1" x14ac:dyDescent="0.3">
      <c r="A128" s="355"/>
      <c r="B128" s="355"/>
      <c r="C128" s="355"/>
      <c r="D128" s="355"/>
      <c r="E128" s="527"/>
      <c r="F128" s="527"/>
      <c r="G128" s="527"/>
      <c r="H128" s="527"/>
      <c r="I128" s="527"/>
      <c r="J128" s="527"/>
    </row>
    <row r="129" spans="1:13" ht="12" hidden="1" customHeight="1" x14ac:dyDescent="0.3">
      <c r="A129" s="165" t="s">
        <v>273</v>
      </c>
      <c r="B129" s="355"/>
      <c r="C129" s="355"/>
      <c r="D129" s="355"/>
      <c r="E129" s="356"/>
      <c r="F129" s="356"/>
      <c r="G129" s="356"/>
      <c r="H129" s="356"/>
      <c r="I129" s="356"/>
      <c r="J129" s="356"/>
    </row>
    <row r="130" spans="1:13" hidden="1" x14ac:dyDescent="0.3">
      <c r="A130" s="165" t="s">
        <v>126</v>
      </c>
    </row>
    <row r="131" spans="1:13" hidden="1" x14ac:dyDescent="0.3">
      <c r="A131" s="165" t="s">
        <v>125</v>
      </c>
    </row>
    <row r="132" spans="1:13" hidden="1" x14ac:dyDescent="0.3">
      <c r="A132" s="548" t="s">
        <v>358</v>
      </c>
    </row>
    <row r="133" spans="1:13" hidden="1" x14ac:dyDescent="0.3">
      <c r="A133" s="548" t="s">
        <v>359</v>
      </c>
    </row>
    <row r="134" spans="1:13" hidden="1" x14ac:dyDescent="0.3">
      <c r="A134" s="548" t="s">
        <v>360</v>
      </c>
    </row>
    <row r="135" spans="1:13" hidden="1" x14ac:dyDescent="0.3">
      <c r="A135" s="548" t="s">
        <v>361</v>
      </c>
    </row>
    <row r="136" spans="1:13" hidden="1" x14ac:dyDescent="0.3">
      <c r="A136" s="548" t="s">
        <v>124</v>
      </c>
    </row>
    <row r="137" spans="1:13" hidden="1" x14ac:dyDescent="0.3">
      <c r="A137" s="548" t="s">
        <v>362</v>
      </c>
    </row>
    <row r="138" spans="1:13" s="549" customFormat="1" hidden="1" x14ac:dyDescent="0.3">
      <c r="A138" s="548" t="s">
        <v>363</v>
      </c>
      <c r="B138" s="165"/>
      <c r="C138" s="165"/>
      <c r="D138" s="165"/>
      <c r="E138" s="175"/>
      <c r="F138" s="175"/>
      <c r="G138" s="175"/>
      <c r="H138" s="175"/>
      <c r="I138" s="175"/>
      <c r="J138" s="175"/>
      <c r="K138" s="175"/>
      <c r="L138" s="175"/>
      <c r="M138" s="175"/>
    </row>
    <row r="139" spans="1:13" s="549" customFormat="1" hidden="1" x14ac:dyDescent="0.3">
      <c r="A139" s="548" t="s">
        <v>364</v>
      </c>
      <c r="B139" s="165"/>
      <c r="C139" s="165"/>
      <c r="D139" s="165"/>
      <c r="E139" s="175"/>
      <c r="F139" s="175"/>
      <c r="G139" s="175"/>
      <c r="H139" s="175"/>
      <c r="I139" s="175"/>
      <c r="J139" s="175"/>
      <c r="K139" s="175"/>
      <c r="L139" s="175"/>
      <c r="M139" s="175"/>
    </row>
    <row r="140" spans="1:13" s="549" customFormat="1" hidden="1" x14ac:dyDescent="0.3">
      <c r="A140" s="548" t="s">
        <v>123</v>
      </c>
      <c r="B140" s="165"/>
      <c r="C140" s="165"/>
      <c r="D140" s="165"/>
      <c r="E140" s="175"/>
      <c r="F140" s="175"/>
      <c r="G140" s="175"/>
      <c r="H140" s="175"/>
      <c r="I140" s="175"/>
      <c r="J140" s="175"/>
      <c r="K140" s="175"/>
      <c r="L140" s="175"/>
      <c r="M140" s="175"/>
    </row>
    <row r="141" spans="1:13" hidden="1" x14ac:dyDescent="0.3">
      <c r="A141" s="165" t="s">
        <v>365</v>
      </c>
    </row>
    <row r="143" spans="1:13" ht="17.25" customHeight="1" x14ac:dyDescent="0.3"/>
    <row r="144" spans="1:13" ht="15.75" customHeight="1" x14ac:dyDescent="0.3"/>
    <row r="145" ht="15.75" customHeight="1" x14ac:dyDescent="0.3"/>
  </sheetData>
  <sheetProtection algorithmName="SHA-512" hashValue="CRWDHGYXeaIobpEcyPpecf8Xa+cM/85T/2JUtnJO6qQPZegSDwGVFrfGeLUlfgzJTxt/BuIC6FqPNlzhWdxWsg==" saltValue="SyQXq5B1FP4ch0ihyBP8hQ==" spinCount="100000" sheet="1" objects="1" scenarios="1"/>
  <dataValidations count="1">
    <dataValidation allowBlank="1" showInputMessage="1" showErrorMessage="1" prompt="Enter name of lead applicant organization" sqref="B2:B3" xr:uid="{00000000-0002-0000-0A00-000000000000}"/>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L36"/>
  <sheetViews>
    <sheetView topLeftCell="E1" workbookViewId="0">
      <selection activeCell="H12" sqref="H12"/>
    </sheetView>
  </sheetViews>
  <sheetFormatPr defaultRowHeight="14.4" x14ac:dyDescent="0.3"/>
  <cols>
    <col min="1" max="1" width="2.6640625" customWidth="1"/>
    <col min="2" max="2" width="2.33203125" customWidth="1"/>
    <col min="3" max="3" width="21.5546875" customWidth="1"/>
    <col min="4" max="10" width="19.5546875" customWidth="1"/>
    <col min="11" max="11" width="20.33203125" customWidth="1"/>
    <col min="12" max="12" width="19.5546875" customWidth="1"/>
  </cols>
  <sheetData>
    <row r="1" spans="1:12" x14ac:dyDescent="0.3">
      <c r="A1" s="87" t="s">
        <v>0</v>
      </c>
      <c r="B1" s="7"/>
      <c r="C1" s="7"/>
      <c r="D1" s="7"/>
      <c r="E1" s="7"/>
      <c r="F1" s="7"/>
      <c r="G1" s="7"/>
      <c r="H1" s="7"/>
      <c r="I1" s="7"/>
      <c r="J1" s="7"/>
      <c r="K1" s="7"/>
      <c r="L1" s="7"/>
    </row>
    <row r="2" spans="1:12" s="11" customFormat="1" x14ac:dyDescent="0.3">
      <c r="C2" s="15"/>
      <c r="D2" s="15"/>
      <c r="E2" s="15"/>
      <c r="F2" s="15"/>
      <c r="G2" s="15"/>
      <c r="H2" s="15"/>
      <c r="I2" s="15"/>
    </row>
    <row r="3" spans="1:12" x14ac:dyDescent="0.3">
      <c r="A3" s="8"/>
      <c r="B3" s="9" t="s">
        <v>48</v>
      </c>
      <c r="C3" s="9"/>
      <c r="D3" s="10"/>
      <c r="E3" s="10"/>
      <c r="F3" s="10"/>
      <c r="G3" s="10"/>
      <c r="H3" s="10"/>
      <c r="I3" s="10"/>
      <c r="J3" s="8"/>
      <c r="K3" s="8"/>
      <c r="L3" s="8"/>
    </row>
    <row r="4" spans="1:12" ht="15" thickBot="1" x14ac:dyDescent="0.35">
      <c r="C4" s="1"/>
      <c r="D4" s="1"/>
      <c r="E4" s="1"/>
      <c r="F4" s="1"/>
      <c r="G4" s="1"/>
      <c r="H4" s="1"/>
      <c r="I4" s="1"/>
      <c r="J4" s="1"/>
      <c r="K4" s="1"/>
      <c r="L4" s="1"/>
    </row>
    <row r="5" spans="1:12" ht="57.6" x14ac:dyDescent="0.3">
      <c r="C5" s="3" t="s">
        <v>23</v>
      </c>
      <c r="D5" s="3" t="s">
        <v>24</v>
      </c>
      <c r="E5" s="3" t="s">
        <v>49</v>
      </c>
      <c r="F5" s="3" t="s">
        <v>50</v>
      </c>
      <c r="G5" s="3" t="s">
        <v>51</v>
      </c>
      <c r="H5" s="38" t="s">
        <v>52</v>
      </c>
      <c r="I5" s="3" t="s">
        <v>25</v>
      </c>
      <c r="J5" s="3" t="s">
        <v>53</v>
      </c>
      <c r="K5" s="757" t="s">
        <v>26</v>
      </c>
      <c r="L5" s="758"/>
    </row>
    <row r="6" spans="1:12" ht="15" thickBot="1" x14ac:dyDescent="0.35">
      <c r="C6" s="4" t="s">
        <v>27</v>
      </c>
      <c r="D6" s="4" t="s">
        <v>28</v>
      </c>
      <c r="E6" s="4" t="s">
        <v>54</v>
      </c>
      <c r="F6" s="4" t="s">
        <v>54</v>
      </c>
      <c r="G6" s="4" t="s">
        <v>29</v>
      </c>
      <c r="H6" s="162" t="s">
        <v>29</v>
      </c>
      <c r="I6" s="129" t="s">
        <v>45</v>
      </c>
      <c r="J6" s="129" t="s">
        <v>46</v>
      </c>
      <c r="K6" s="759"/>
      <c r="L6" s="760"/>
    </row>
    <row r="7" spans="1:12" x14ac:dyDescent="0.3">
      <c r="C7" s="55" t="s">
        <v>30</v>
      </c>
      <c r="D7" s="56"/>
      <c r="E7" s="56"/>
      <c r="F7" s="56"/>
      <c r="G7" s="56"/>
      <c r="H7" s="73"/>
      <c r="I7" s="56"/>
      <c r="J7" s="56"/>
      <c r="K7" s="761"/>
      <c r="L7" s="762"/>
    </row>
    <row r="8" spans="1:12" x14ac:dyDescent="0.3">
      <c r="C8" s="57" t="s">
        <v>55</v>
      </c>
      <c r="D8" s="102">
        <f>'Environmental Benefits'!D32</f>
        <v>160</v>
      </c>
      <c r="E8" s="102" t="s">
        <v>56</v>
      </c>
      <c r="F8" s="102" t="s">
        <v>56</v>
      </c>
      <c r="G8" s="138">
        <f>I8/('Environmental Benefits'!D20*H8)</f>
        <v>0.40562583934388302</v>
      </c>
      <c r="H8" s="103">
        <f>SUMIFS(H11:H16,E11:E16,"x")-IF(AND(E11=E12,E12="x"),H11,0)-IF(AND(E13=E14,E14="x"),H13,0)</f>
        <v>0.82312362227602875</v>
      </c>
      <c r="I8" s="135">
        <f>IF(AND(E11="x",E11=E17),I11*(1-Fuel_Switch),IF(E11="x",I11,0))+
SUMIF(E12:E16,"x",I12:I16)+
IF(E17="x",I17,0)*Fuel_Switch*INDEX(Data!E47:O47,MATCH(Jurisdiction,TB_Fuelswitchproportion[[#Headers],[BC]:[Tr]],0))+
IF(E18="x",I18,0)*Fuel_Switch*INDEX(Data!E48:O48,MATCH(Jurisdiction,TB_Fuelswitchproportion[[#Headers],[BC]:[Tr]],0))</f>
        <v>39.777167892328727</v>
      </c>
      <c r="J8" s="134">
        <f>IF(AND(E11="x",E11=E17),J11*(1-Fuel_Switch),IF(E11="x",J11,0))+
SUMIF(E12:E16,"x",J12:J16)+
IF(E17="x",J17,0)*Fuel_Switch*INDEX(Data!E47:O47,MATCH(Jurisdiction,TB_Fuelswitchproportion[[#Headers],[BC]:[Tr]],0))+
IF(E18="x",J18,0)*Fuel_Switch*INDEX(Data!E48:O48,MATCH(Jurisdiction,TB_Fuelswitchproportion[[#Headers],[BC]:[Tr]],0))</f>
        <v>1.3040242695585582</v>
      </c>
      <c r="K8" s="763"/>
      <c r="L8" s="764"/>
    </row>
    <row r="9" spans="1:12" x14ac:dyDescent="0.3">
      <c r="C9" s="58" t="s">
        <v>57</v>
      </c>
      <c r="D9" s="102">
        <f>'Environmental Benefits'!D33</f>
        <v>0</v>
      </c>
      <c r="E9" s="102" t="s">
        <v>56</v>
      </c>
      <c r="F9" s="102" t="s">
        <v>56</v>
      </c>
      <c r="G9" s="138">
        <f>I9/('Environmental Benefits'!D20*H9)</f>
        <v>0.19044078051277036</v>
      </c>
      <c r="H9" s="103">
        <f>SUMIF($F11:$F16,"x",H11:H16)-IF(AND(F11=F12,F12="x"),H11,0)-IF(AND(F13=F14,F14="x"),H13,0)</f>
        <v>0.8231236222760292</v>
      </c>
      <c r="I9" s="135">
        <f>IF(AND(F11="x",F11=F17),I11*(1-Fuel_Switch),IF(F11="x",I11,0))+
SUMIF(F12:F16,"x",I12:I16)+
IF(F17="x",I17,0)*Fuel_Switch*INDEX(Data!E47:O47,MATCH(Jurisdiction,TB_Fuelswitchproportion[[#Headers],[BC]:[Tr]],0))+
IF(F18="x",I18,0)*Fuel_Switch*INDEX(Data!E48:O48,MATCH(Jurisdiction,TB_Fuelswitchproportion[[#Headers],[BC]:[Tr]],0))</f>
        <v>18.675326286549677</v>
      </c>
      <c r="J9" s="134">
        <f>IF(AND(F11="x",F11=F17),J11*(1-Fuel_Switch),IF(F11="x",J11,0))+
SUMIF(F12:F16,"x",J12:J16)+
IF(F17="x",J17,0)*Fuel_Switch*INDEX(Data!E47:O47,MATCH(Jurisdiction,TB_Fuelswitchproportion[[#Headers],[BC]:[Tr]],0))+
IF(F18="x",J18,0)*Fuel_Switch*INDEX(Data!E48:O48,MATCH(Jurisdiction,TB_Fuelswitchproportion[[#Headers],[BC]:[Tr]],0))</f>
        <v>0.57344503274462177</v>
      </c>
      <c r="K9" s="763"/>
      <c r="L9" s="764"/>
    </row>
    <row r="10" spans="1:12" x14ac:dyDescent="0.3">
      <c r="C10" s="113" t="s">
        <v>58</v>
      </c>
      <c r="D10" s="114" t="s">
        <v>59</v>
      </c>
      <c r="E10" s="115"/>
      <c r="F10" s="115"/>
      <c r="G10" s="115"/>
      <c r="H10" s="116"/>
      <c r="I10" s="115"/>
      <c r="J10" s="115"/>
      <c r="K10" s="747"/>
      <c r="L10" s="748"/>
    </row>
    <row r="11" spans="1:12" x14ac:dyDescent="0.3">
      <c r="C11" s="117" t="str">
        <f>Data!D72</f>
        <v>Space Heating</v>
      </c>
      <c r="D11" s="118">
        <f>IF($E11="x",$D$8,0)+IF($F11="x",$D$9,0)</f>
        <v>160</v>
      </c>
      <c r="E11" s="118" t="s">
        <v>60</v>
      </c>
      <c r="F11" s="118" t="s">
        <v>60</v>
      </c>
      <c r="G11" s="119">
        <f>INDEX(Table6[Average energy consumption reduction in the category (%)],MATCH($C11,Table6[Measure Category],0))</f>
        <v>0.2</v>
      </c>
      <c r="H11" s="120">
        <f>INDEX(Pct_energy_by_end_use[],MATCH($C11,Pct_energy_by_end_use[End-use],0), MATCH(Jurisdiction, Pct_energy_by_end_use[#Headers],0))</f>
        <v>0.56059294915254243</v>
      </c>
      <c r="I11" s="133">
        <f>G11*H11*'Environmental Benefits'!$D$20</f>
        <v>13.357365413407749</v>
      </c>
      <c r="J11" s="130">
        <f>G11*H11*'Environmental Benefits'!$D$20*'Environmental Benefits'!$F$20</f>
        <v>0.46245318356004361</v>
      </c>
      <c r="K11" s="749"/>
      <c r="L11" s="750"/>
    </row>
    <row r="12" spans="1:12" x14ac:dyDescent="0.3">
      <c r="C12" s="117" t="str">
        <f>Data!D71</f>
        <v>Insulation</v>
      </c>
      <c r="D12" s="118">
        <f t="shared" ref="D12:D17" si="0">IF($E12="x",$D$8,0)+IF($F12="x",$D$9,0)</f>
        <v>160</v>
      </c>
      <c r="E12" s="118" t="s">
        <v>60</v>
      </c>
      <c r="F12" s="118"/>
      <c r="G12" s="119">
        <f>INDEX(Table6[Average energy consumption reduction in the category (%)],MATCH($C12,Table6[Measure Category],0))</f>
        <v>0.3</v>
      </c>
      <c r="H12" s="120">
        <f>INDEX(Pct_energy_by_end_use[],MATCH($C11,Pct_energy_by_end_use[End-use],0), MATCH(Jurisdiction, Pct_energy_by_end_use[#Headers],0))</f>
        <v>0.56059294915254243</v>
      </c>
      <c r="I12" s="133">
        <f>G12*H12*'Environmental Benefits'!$D$20</f>
        <v>20.036048120111623</v>
      </c>
      <c r="J12" s="130">
        <f>G12*H12*'Environmental Benefits'!$D$20*'Environmental Benefits'!$F$20</f>
        <v>0.69367977534006542</v>
      </c>
      <c r="K12" s="749"/>
      <c r="L12" s="750"/>
    </row>
    <row r="13" spans="1:12" x14ac:dyDescent="0.3">
      <c r="C13" s="117" t="str">
        <f>Data!D73</f>
        <v>Space Cooling</v>
      </c>
      <c r="D13" s="118">
        <f t="shared" si="0"/>
        <v>160</v>
      </c>
      <c r="E13" s="118" t="s">
        <v>60</v>
      </c>
      <c r="F13" s="118" t="s">
        <v>60</v>
      </c>
      <c r="G13" s="119">
        <f>INDEX(Table6[Average energy consumption reduction in the category (%)],MATCH($C13,Table6[Measure Category],0))</f>
        <v>0.15</v>
      </c>
      <c r="H13" s="120">
        <f>INDEX(Pct_energy_by_end_use[],MATCH($C13,Pct_energy_by_end_use[End-use],0), MATCH(Jurisdiction, Pct_energy_by_end_use[#Headers],0))</f>
        <v>2.9820067796610169E-2</v>
      </c>
      <c r="I13" s="133">
        <f>G13*H13*'Environmental Benefits'!$D$20</f>
        <v>0.5328967428337148</v>
      </c>
      <c r="J13" s="130">
        <f>G13*H13*'Environmental Benefits'!$D$20*'Environmental Benefits'!$F$20</f>
        <v>1.8449730736935586E-2</v>
      </c>
      <c r="K13" s="749"/>
      <c r="L13" s="750"/>
    </row>
    <row r="14" spans="1:12" x14ac:dyDescent="0.3">
      <c r="C14" s="117" t="str">
        <f>Data!D71</f>
        <v>Insulation</v>
      </c>
      <c r="D14" s="118">
        <f t="shared" si="0"/>
        <v>160</v>
      </c>
      <c r="E14" s="118" t="s">
        <v>60</v>
      </c>
      <c r="F14" s="118"/>
      <c r="G14" s="119">
        <f>INDEX(Table6[Average energy consumption reduction in the category (%)],MATCH($C14,Table6[Measure Category],0))</f>
        <v>0.3</v>
      </c>
      <c r="H14" s="120">
        <f>INDEX(Pct_energy_by_end_use[],MATCH($C13,Pct_energy_by_end_use[End-use],0), MATCH(Jurisdiction, Pct_energy_by_end_use[#Headers],0))</f>
        <v>2.9820067796610169E-2</v>
      </c>
      <c r="I14" s="133">
        <f>G14*H14*'Environmental Benefits'!$D$20</f>
        <v>1.0657934856674296</v>
      </c>
      <c r="J14" s="130">
        <f>G14*H14*'Environmental Benefits'!$D$20*'Environmental Benefits'!$F$20</f>
        <v>3.6899461473871173E-2</v>
      </c>
      <c r="K14" s="749"/>
      <c r="L14" s="750"/>
    </row>
    <row r="15" spans="1:12" x14ac:dyDescent="0.3">
      <c r="C15" s="117" t="str">
        <f>Data!D34</f>
        <v>Lighting</v>
      </c>
      <c r="D15" s="118">
        <f t="shared" si="0"/>
        <v>160</v>
      </c>
      <c r="E15" s="118" t="s">
        <v>60</v>
      </c>
      <c r="F15" s="118" t="s">
        <v>60</v>
      </c>
      <c r="G15" s="119">
        <f>INDEX(Table6[Average energy consumption reduction in the category (%)],MATCH($C15,Table6[Measure Category],0))</f>
        <v>0.5</v>
      </c>
      <c r="H15" s="120">
        <f>INDEX(Pct_energy_by_end_use[],MATCH($C15,Pct_energy_by_end_use[End-use],0), MATCH(Jurisdiction, Pct_energy_by_end_use[#Headers],0))</f>
        <v>4.2234111380145281E-2</v>
      </c>
      <c r="I15" s="133">
        <f>G15*H15*'Environmental Benefits'!$D$20</f>
        <v>2.5158025063817586</v>
      </c>
      <c r="J15" s="130">
        <f>G15*H15*'Environmental Benefits'!$D$20*'Environmental Benefits'!F15</f>
        <v>1.397668059100971E-2</v>
      </c>
      <c r="K15" s="749"/>
      <c r="L15" s="750"/>
    </row>
    <row r="16" spans="1:12" x14ac:dyDescent="0.3">
      <c r="C16" s="117" t="str">
        <f>Data!D24</f>
        <v>Water Heating</v>
      </c>
      <c r="D16" s="118">
        <f t="shared" si="0"/>
        <v>160</v>
      </c>
      <c r="E16" s="121" t="s">
        <v>60</v>
      </c>
      <c r="F16" s="118" t="s">
        <v>60</v>
      </c>
      <c r="G16" s="119">
        <f>INDEX(Table6[Average energy consumption reduction in the category (%)],MATCH($C16,Table6[Measure Category],0))</f>
        <v>0.1</v>
      </c>
      <c r="H16" s="120">
        <f>INDEX(Pct_energy_by_end_use[],MATCH($C16,Pct_energy_by_end_use[End-use],0), MATCH(Jurisdiction, Pct_energy_by_end_use[#Headers],0))</f>
        <v>0.19047649394673125</v>
      </c>
      <c r="I16" s="133">
        <f>G16*H16*'Environmental Benefits'!$D$20</f>
        <v>2.2692616239264556</v>
      </c>
      <c r="J16" s="130">
        <f>G16*H16*'Environmental Benefits'!$D$20*'Environmental Benefits'!$F$20</f>
        <v>7.8565437856632878E-2</v>
      </c>
      <c r="K16" s="749"/>
      <c r="L16" s="750"/>
    </row>
    <row r="17" spans="1:12" x14ac:dyDescent="0.3">
      <c r="C17" s="122" t="s">
        <v>61</v>
      </c>
      <c r="D17" s="118">
        <f t="shared" si="0"/>
        <v>0</v>
      </c>
      <c r="E17" s="121" t="str">
        <f>IF(Fuel_Switch_On="Yes","x","")</f>
        <v/>
      </c>
      <c r="F17" s="118"/>
      <c r="G17" s="119">
        <f>(1-$G$12)*(1-Data!E82/Data!F82)</f>
        <v>0.434</v>
      </c>
      <c r="H17" s="120">
        <f>INDEX(Pct_energy_by_end_use[],MATCH($C11,Pct_energy_by_end_use[End-use],0), MATCH(Jurisdiction, Pct_energy_by_end_use[#Headers],0))</f>
        <v>0.56059294915254243</v>
      </c>
      <c r="I17" s="133">
        <f>G17*H17*'Environmental Benefits'!$D$20</f>
        <v>28.985482947094813</v>
      </c>
      <c r="J17" s="130">
        <f>'Environmental Benefits'!$D$20*$H17*(1-$G$12)*('Environmental Benefits'!$F16-'Environmental Benefits'!$F$15*Data!E82/Data!F82)</f>
        <v>2.1763827414217682</v>
      </c>
      <c r="K17" s="749" t="s">
        <v>62</v>
      </c>
      <c r="L17" s="750"/>
    </row>
    <row r="18" spans="1:12" ht="15" thickBot="1" x14ac:dyDescent="0.35">
      <c r="C18" s="123" t="s">
        <v>63</v>
      </c>
      <c r="D18" s="124">
        <f>IF($E18="x",$D$8,0)+IF($F18="x",$D$9,0)</f>
        <v>0</v>
      </c>
      <c r="E18" s="125" t="str">
        <f>IF(Fuel_Switch_On="Yes","x","")</f>
        <v/>
      </c>
      <c r="F18" s="124"/>
      <c r="G18" s="119">
        <f>(1-$G$12)*(1-Data!E83/Data!F83)</f>
        <v>0.48159999999999992</v>
      </c>
      <c r="H18" s="126">
        <f>INDEX(Pct_energy_by_end_use[],MATCH($C11,Pct_energy_by_end_use[End-use],0), MATCH(Jurisdiction, Pct_energy_by_end_use[#Headers],0))</f>
        <v>0.56059294915254243</v>
      </c>
      <c r="I18" s="133">
        <f>G18*H18*'Environmental Benefits'!$D$20</f>
        <v>32.16453591548585</v>
      </c>
      <c r="J18" s="130">
        <f>'Environmental Benefits'!$D$20*$H18*(1-$G$12)*('Environmental Benefits'!$F17-'Environmental Benefits'!$F$15*Data!E83/Data!F83)</f>
        <v>3.2341023591908469</v>
      </c>
      <c r="K18" s="755" t="s">
        <v>64</v>
      </c>
      <c r="L18" s="756"/>
    </row>
    <row r="19" spans="1:12" x14ac:dyDescent="0.3">
      <c r="C19" s="106" t="s">
        <v>33</v>
      </c>
      <c r="D19" s="56"/>
      <c r="E19" s="56"/>
      <c r="F19" s="56"/>
      <c r="G19" s="107"/>
      <c r="H19" s="108"/>
      <c r="I19" s="107"/>
      <c r="J19" s="107"/>
      <c r="K19" s="747"/>
      <c r="L19" s="748"/>
    </row>
    <row r="20" spans="1:12" x14ac:dyDescent="0.3">
      <c r="C20" s="60" t="s">
        <v>34</v>
      </c>
      <c r="D20" s="105">
        <f>'Environmental Benefits'!D35</f>
        <v>20</v>
      </c>
      <c r="E20" s="105" t="s">
        <v>56</v>
      </c>
      <c r="F20" s="105" t="s">
        <v>56</v>
      </c>
      <c r="G20" s="131">
        <f>5*INDEX(Solar_kW_to_kWh[kWh a year /kW installed],MATCH(Jurisdiction,Solar_kW_to_kWh[Province],0))/GJ_to_kWh/'Environmental Benefits'!$D$20</f>
        <v>0.192183495746132</v>
      </c>
      <c r="H20" s="132">
        <v>1</v>
      </c>
      <c r="I20" s="104"/>
      <c r="J20" s="104"/>
      <c r="K20" s="749"/>
      <c r="L20" s="750"/>
    </row>
    <row r="21" spans="1:12" ht="15" thickBot="1" x14ac:dyDescent="0.35">
      <c r="C21" s="109" t="s">
        <v>35</v>
      </c>
      <c r="D21" s="110">
        <f>'Environmental Benefits'!D36</f>
        <v>0</v>
      </c>
      <c r="E21" s="110" t="s">
        <v>56</v>
      </c>
      <c r="F21" s="110" t="s">
        <v>56</v>
      </c>
      <c r="G21" s="111">
        <f>Data!E77</f>
        <v>0.4</v>
      </c>
      <c r="H21" s="112">
        <f>H16</f>
        <v>0.19047649394673125</v>
      </c>
      <c r="I21" s="111"/>
      <c r="J21" s="111"/>
      <c r="K21" s="755"/>
      <c r="L21" s="756"/>
    </row>
    <row r="22" spans="1:12" x14ac:dyDescent="0.3">
      <c r="C22" s="1"/>
      <c r="D22" s="1"/>
      <c r="E22" s="1"/>
      <c r="F22" s="1"/>
      <c r="G22" s="1"/>
      <c r="I22" s="1"/>
      <c r="J22" s="1"/>
      <c r="K22" s="1"/>
      <c r="L22" s="1"/>
    </row>
    <row r="23" spans="1:12" x14ac:dyDescent="0.3">
      <c r="H23" s="33"/>
      <c r="L23" s="16"/>
    </row>
    <row r="24" spans="1:12" x14ac:dyDescent="0.3">
      <c r="A24" s="8"/>
      <c r="B24" s="9" t="s">
        <v>65</v>
      </c>
      <c r="C24" s="9"/>
      <c r="D24" s="10"/>
      <c r="E24" s="10"/>
      <c r="F24" s="10"/>
      <c r="G24" s="10"/>
      <c r="H24" s="10"/>
      <c r="I24" s="10"/>
      <c r="J24" s="8"/>
      <c r="K24" s="8"/>
      <c r="L24" s="8"/>
    </row>
    <row r="25" spans="1:12" ht="15" thickBot="1" x14ac:dyDescent="0.35">
      <c r="L25" s="16"/>
    </row>
    <row r="26" spans="1:12" ht="15" thickBot="1" x14ac:dyDescent="0.35">
      <c r="C26" s="44"/>
      <c r="D26" s="753" t="s">
        <v>66</v>
      </c>
      <c r="E26" s="754"/>
      <c r="F26" s="751" t="s">
        <v>67</v>
      </c>
      <c r="G26" s="751"/>
      <c r="H26" s="751" t="s">
        <v>68</v>
      </c>
      <c r="I26" s="752"/>
      <c r="L26" s="16"/>
    </row>
    <row r="27" spans="1:12" ht="43.2" x14ac:dyDescent="0.3">
      <c r="C27" s="3" t="s">
        <v>23</v>
      </c>
      <c r="D27" s="3" t="s">
        <v>39</v>
      </c>
      <c r="E27" s="3" t="s">
        <v>40</v>
      </c>
      <c r="F27" s="3" t="s">
        <v>41</v>
      </c>
      <c r="G27" s="3" t="s">
        <v>69</v>
      </c>
      <c r="H27" s="41" t="s">
        <v>43</v>
      </c>
      <c r="I27" s="3" t="s">
        <v>44</v>
      </c>
      <c r="L27" s="16"/>
    </row>
    <row r="28" spans="1:12" ht="16.2" thickBot="1" x14ac:dyDescent="0.35">
      <c r="C28" s="4" t="s">
        <v>27</v>
      </c>
      <c r="D28" s="5" t="s">
        <v>45</v>
      </c>
      <c r="E28" s="5" t="s">
        <v>46</v>
      </c>
      <c r="F28" s="53" t="s">
        <v>45</v>
      </c>
      <c r="G28" s="53" t="s">
        <v>46</v>
      </c>
      <c r="H28" s="52" t="s">
        <v>29</v>
      </c>
      <c r="I28" s="53" t="s">
        <v>29</v>
      </c>
      <c r="L28" s="16"/>
    </row>
    <row r="29" spans="1:12" x14ac:dyDescent="0.3">
      <c r="C29" s="98" t="s">
        <v>30</v>
      </c>
      <c r="D29" s="80"/>
      <c r="E29" s="81"/>
      <c r="F29" s="64"/>
      <c r="G29" s="65"/>
      <c r="H29" s="64"/>
      <c r="I29" s="65"/>
      <c r="L29" s="16"/>
    </row>
    <row r="30" spans="1:12" x14ac:dyDescent="0.3">
      <c r="C30" s="76" t="s">
        <v>55</v>
      </c>
      <c r="D30" s="89">
        <f>D8*I8</f>
        <v>6364.3468627725961</v>
      </c>
      <c r="E30" s="90">
        <f>D8*J8</f>
        <v>208.64388312936933</v>
      </c>
      <c r="F30" s="145">
        <f>'Environmental Benefits'!$D$20*D8</f>
        <v>19061.767271386911</v>
      </c>
      <c r="G30" s="152">
        <f>'Environmental Benefits'!$E$20*D8</f>
        <v>659.94862655214149</v>
      </c>
      <c r="H30" s="82">
        <f t="shared" ref="H30:H31" si="1">IFERROR(D30/F30,0)</f>
        <v>0.33388021016949149</v>
      </c>
      <c r="I30" s="54">
        <f t="shared" ref="I30:I34" si="2">IFERROR(E30/G30,0)</f>
        <v>0.31615170444314078</v>
      </c>
      <c r="L30" s="16"/>
    </row>
    <row r="31" spans="1:12" x14ac:dyDescent="0.3">
      <c r="C31" s="77" t="s">
        <v>57</v>
      </c>
      <c r="D31" s="89">
        <f>D9*I9</f>
        <v>0</v>
      </c>
      <c r="E31" s="90">
        <f>D9*J9</f>
        <v>0</v>
      </c>
      <c r="F31" s="145">
        <f>'Environmental Benefits'!$D$20*D9</f>
        <v>0</v>
      </c>
      <c r="G31" s="152">
        <f>'Environmental Benefits'!$E$20*D9</f>
        <v>0</v>
      </c>
      <c r="H31" s="82">
        <f t="shared" si="1"/>
        <v>0</v>
      </c>
      <c r="I31" s="54">
        <f t="shared" si="2"/>
        <v>0</v>
      </c>
    </row>
    <row r="32" spans="1:12" x14ac:dyDescent="0.3">
      <c r="C32" s="78" t="s">
        <v>33</v>
      </c>
      <c r="D32" s="2"/>
      <c r="E32" s="42"/>
      <c r="F32" s="146"/>
      <c r="G32" s="153"/>
      <c r="H32" s="66"/>
      <c r="I32" s="67"/>
    </row>
    <row r="33" spans="3:9" x14ac:dyDescent="0.3">
      <c r="C33" s="79" t="s">
        <v>34</v>
      </c>
      <c r="D33" s="89">
        <f>G20*D20*H20*'Environmental Benefits'!$D$20</f>
        <v>457.91963366429303</v>
      </c>
      <c r="E33" s="91">
        <f>D33*'Environmental Benefits'!F15</f>
        <v>2.5439979648016169</v>
      </c>
      <c r="F33" s="145">
        <f>'Environmental Benefits'!$D$20*D20</f>
        <v>2382.7209089233638</v>
      </c>
      <c r="G33" s="152">
        <f>'Environmental Benefits'!$E$20*D20</f>
        <v>82.493578319017686</v>
      </c>
      <c r="H33" s="82">
        <f>IFERROR(D33/F33,0)</f>
        <v>0.192183495746132</v>
      </c>
      <c r="I33" s="54">
        <f t="shared" si="2"/>
        <v>3.0838739410278867E-2</v>
      </c>
    </row>
    <row r="34" spans="3:9" x14ac:dyDescent="0.3">
      <c r="C34" s="79" t="s">
        <v>35</v>
      </c>
      <c r="D34" s="89">
        <f>G21*D21*H21*'Environmental Benefits'!$D$20</f>
        <v>0</v>
      </c>
      <c r="E34" s="91">
        <f>D34*'Environmental Benefits'!F20</f>
        <v>0</v>
      </c>
      <c r="F34" s="145">
        <f>'Environmental Benefits'!$D$20*D21</f>
        <v>0</v>
      </c>
      <c r="G34" s="152">
        <f>'Environmental Benefits'!$E$20*D21</f>
        <v>0</v>
      </c>
      <c r="H34" s="82">
        <f t="shared" ref="H34" si="3">IFERROR(D34/F34,0)</f>
        <v>0</v>
      </c>
      <c r="I34" s="54">
        <f t="shared" si="2"/>
        <v>0</v>
      </c>
    </row>
    <row r="35" spans="3:9" x14ac:dyDescent="0.3">
      <c r="C35" s="78" t="s">
        <v>19</v>
      </c>
      <c r="D35" s="2"/>
      <c r="E35" s="43"/>
      <c r="F35" s="146"/>
      <c r="G35" s="153"/>
      <c r="H35" s="66"/>
      <c r="I35" s="67"/>
    </row>
    <row r="36" spans="3:9" ht="15" thickBot="1" x14ac:dyDescent="0.35">
      <c r="C36" s="99" t="s">
        <v>19</v>
      </c>
      <c r="D36" s="100">
        <f>'Environmental Benefits'!D38*'Environmental Benefits'!E38*'Environmental Benefits'!D20</f>
        <v>14296.325453540181</v>
      </c>
      <c r="E36" s="101">
        <f>D36*'Environmental Benefits'!F20</f>
        <v>494.96146991410609</v>
      </c>
      <c r="F36" s="147">
        <f>'Environmental Benefits'!$D$20*'Environmental Benefits'!D38</f>
        <v>19061.767271386911</v>
      </c>
      <c r="G36" s="154">
        <f>'Environmental Benefits'!$E$20*'Environmental Benefits'!D38</f>
        <v>659.94862655214149</v>
      </c>
      <c r="H36" s="83">
        <f>IFERROR(D36/F36,0)</f>
        <v>0.74999999999999989</v>
      </c>
      <c r="I36" s="74">
        <f>IFERROR(E36/G36,0)</f>
        <v>0.75</v>
      </c>
    </row>
  </sheetData>
  <sheetProtection algorithmName="SHA-512" hashValue="TGwFHNnrmuQFE5UvhgtUHt04yTHmcpMq7OXIuM82+h2IZtx+JGM/DpNSTKJI5VgDheSA760xGOLjucD+yDwPOQ==" saltValue="C6Y5Xm6A0cbgpifPdtdHyQ==" spinCount="100000" sheet="1" objects="1" scenarios="1"/>
  <mergeCells count="19">
    <mergeCell ref="K5:L6"/>
    <mergeCell ref="K7:L7"/>
    <mergeCell ref="K8:L8"/>
    <mergeCell ref="K9:L9"/>
    <mergeCell ref="K10:L10"/>
    <mergeCell ref="K19:L19"/>
    <mergeCell ref="K11:L11"/>
    <mergeCell ref="H26:I26"/>
    <mergeCell ref="D26:E26"/>
    <mergeCell ref="F26:G26"/>
    <mergeCell ref="K12:L12"/>
    <mergeCell ref="K13:L13"/>
    <mergeCell ref="K14:L14"/>
    <mergeCell ref="K15:L15"/>
    <mergeCell ref="K16:L16"/>
    <mergeCell ref="K17:L17"/>
    <mergeCell ref="K18:L18"/>
    <mergeCell ref="K20:L20"/>
    <mergeCell ref="K21:L21"/>
  </mergeCells>
  <pageMargins left="0.7" right="0.7" top="0.75" bottom="0.75" header="0.3" footer="0.3"/>
  <pageSetup paperSize="9" orientation="portrait"/>
  <ignoredErrors>
    <ignoredError sqref="C13" formula="1"/>
  </ignoredErrors>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L36"/>
  <sheetViews>
    <sheetView workbookViewId="0">
      <selection activeCell="J18" sqref="J18"/>
    </sheetView>
  </sheetViews>
  <sheetFormatPr defaultRowHeight="14.4" x14ac:dyDescent="0.3"/>
  <cols>
    <col min="1" max="1" width="2.6640625" customWidth="1"/>
    <col min="2" max="2" width="2.33203125" customWidth="1"/>
    <col min="3" max="3" width="21.5546875" customWidth="1"/>
    <col min="4" max="10" width="19.5546875" customWidth="1"/>
    <col min="11" max="11" width="20.33203125" customWidth="1"/>
    <col min="12" max="12" width="19.5546875" customWidth="1"/>
  </cols>
  <sheetData>
    <row r="1" spans="1:12" x14ac:dyDescent="0.3">
      <c r="A1" s="87" t="s">
        <v>0</v>
      </c>
      <c r="B1" s="7"/>
      <c r="C1" s="7"/>
      <c r="D1" s="7"/>
      <c r="E1" s="7"/>
      <c r="F1" s="7"/>
      <c r="G1" s="7"/>
      <c r="H1" s="7"/>
      <c r="I1" s="7"/>
      <c r="J1" s="7"/>
      <c r="K1" s="7"/>
      <c r="L1" s="7"/>
    </row>
    <row r="2" spans="1:12" s="11" customFormat="1" x14ac:dyDescent="0.3">
      <c r="C2" s="15"/>
      <c r="D2" s="15"/>
      <c r="E2" s="15"/>
      <c r="F2" s="15"/>
      <c r="G2" s="15"/>
      <c r="H2" s="15"/>
      <c r="I2" s="15"/>
    </row>
    <row r="3" spans="1:12" x14ac:dyDescent="0.3">
      <c r="A3" s="8"/>
      <c r="B3" s="9" t="s">
        <v>48</v>
      </c>
      <c r="C3" s="9"/>
      <c r="D3" s="10"/>
      <c r="E3" s="10"/>
      <c r="F3" s="10"/>
      <c r="G3" s="10"/>
      <c r="H3" s="10"/>
      <c r="I3" s="10"/>
      <c r="J3" s="8"/>
      <c r="K3" s="8"/>
      <c r="L3" s="8"/>
    </row>
    <row r="4" spans="1:12" ht="15" thickBot="1" x14ac:dyDescent="0.35">
      <c r="C4" s="1"/>
      <c r="D4" s="1"/>
      <c r="E4" s="1"/>
      <c r="F4" s="1"/>
      <c r="G4" s="1"/>
      <c r="H4" s="1"/>
      <c r="I4" s="1"/>
      <c r="J4" s="1"/>
      <c r="K4" s="1"/>
      <c r="L4" s="1"/>
    </row>
    <row r="5" spans="1:12" ht="57.6" x14ac:dyDescent="0.3">
      <c r="C5" s="3" t="s">
        <v>23</v>
      </c>
      <c r="D5" s="3" t="s">
        <v>24</v>
      </c>
      <c r="E5" s="3" t="s">
        <v>49</v>
      </c>
      <c r="F5" s="3" t="s">
        <v>50</v>
      </c>
      <c r="G5" s="3" t="s">
        <v>51</v>
      </c>
      <c r="H5" s="38" t="s">
        <v>52</v>
      </c>
      <c r="I5" s="3" t="s">
        <v>25</v>
      </c>
      <c r="J5" s="3" t="s">
        <v>53</v>
      </c>
      <c r="K5" s="757" t="s">
        <v>26</v>
      </c>
      <c r="L5" s="758"/>
    </row>
    <row r="6" spans="1:12" ht="15" thickBot="1" x14ac:dyDescent="0.35">
      <c r="C6" s="4" t="s">
        <v>27</v>
      </c>
      <c r="D6" s="4" t="s">
        <v>28</v>
      </c>
      <c r="E6" s="4" t="s">
        <v>54</v>
      </c>
      <c r="F6" s="4" t="s">
        <v>54</v>
      </c>
      <c r="G6" s="4" t="s">
        <v>29</v>
      </c>
      <c r="H6" s="564" t="s">
        <v>29</v>
      </c>
      <c r="I6" s="129" t="s">
        <v>45</v>
      </c>
      <c r="J6" s="129" t="s">
        <v>46</v>
      </c>
      <c r="K6" s="759"/>
      <c r="L6" s="760"/>
    </row>
    <row r="7" spans="1:12" x14ac:dyDescent="0.3">
      <c r="C7" s="55" t="s">
        <v>30</v>
      </c>
      <c r="D7" s="56"/>
      <c r="E7" s="56"/>
      <c r="F7" s="56"/>
      <c r="G7" s="56"/>
      <c r="H7" s="73"/>
      <c r="I7" s="56"/>
      <c r="J7" s="56"/>
      <c r="K7" s="761"/>
      <c r="L7" s="762"/>
    </row>
    <row r="8" spans="1:12" x14ac:dyDescent="0.3">
      <c r="C8" s="57" t="s">
        <v>55</v>
      </c>
      <c r="D8" s="102">
        <f>'Environmental Benefits - Post'!D32</f>
        <v>15</v>
      </c>
      <c r="E8" s="102" t="s">
        <v>56</v>
      </c>
      <c r="F8" s="102" t="s">
        <v>56</v>
      </c>
      <c r="G8" s="138">
        <f>I8/('Environmental Benefits - Post'!D20*H8)</f>
        <v>0.40562583934388313</v>
      </c>
      <c r="H8" s="103">
        <f>SUMIFS(H11:H16,E11:E16,"x")-IF(AND(E11=E12,E12="x"),H11,0)-IF(AND(E13=E14,E14="x"),H13,0)</f>
        <v>0.82312362227602875</v>
      </c>
      <c r="I8" s="135">
        <f>IF(AND(E11="x",E11=E17),I11*(1-Fuel_Switch),IF(E11="x",I11,0))+
SUMIF(E12:E16,"x",I12:I16)+
IF(E17="x",I17,0)*Fuel_Switch*INDEX(Data!E47:O47,MATCH(Jurisdiction,TB_Fuelswitchproportion[[#Headers],[BC]:[Tr]],0))+
IF(E18="x",I18,0)*Fuel_Switch*INDEX(Data!E48:O48,MATCH(Jurisdiction,TB_Fuelswitchproportion[[#Headers],[BC]:[Tr]],0))</f>
        <v>37.431777625939077</v>
      </c>
      <c r="J8" s="134">
        <f>IF(AND(E11="x",E11=E17),J11*(1-Fuel_Switch),IF(E11="x",J11,0))+
SUMIF(E12:E16,"x",J12:J16)+
IF(E17="x",J17,0)*Fuel_Switch*INDEX(Data!E47:O47,MATCH(Jurisdiction,TB_Fuelswitchproportion[[#Headers],[BC]:[Tr]],0))+
IF(E18="x",J18,0)*Fuel_Switch*INDEX(Data!E48:O48,MATCH(Jurisdiction,TB_Fuelswitchproportion[[#Headers],[BC]:[Tr]],0))</f>
        <v>0.72409359863195832</v>
      </c>
      <c r="K8" s="763"/>
      <c r="L8" s="764"/>
    </row>
    <row r="9" spans="1:12" x14ac:dyDescent="0.3">
      <c r="C9" s="58" t="s">
        <v>57</v>
      </c>
      <c r="D9" s="102">
        <f>'Environmental Benefits - Post'!D33</f>
        <v>5</v>
      </c>
      <c r="E9" s="102" t="s">
        <v>56</v>
      </c>
      <c r="F9" s="102" t="s">
        <v>56</v>
      </c>
      <c r="G9" s="138">
        <f>I9/('Environmental Benefits - Post'!D20*H9)</f>
        <v>0.19044078051277036</v>
      </c>
      <c r="H9" s="103">
        <f>SUMIF($F11:$F16,"x",H11:H16)-IF(AND(F11=F12,F12="x"),H11,0)-IF(AND(F13=F14,F14="x"),H13,0)</f>
        <v>0.8231236222760292</v>
      </c>
      <c r="I9" s="135">
        <f>IF(AND(F11="x",F11=F17),I11*(1-Fuel_Switch),IF(F11="x",I11,0))+
SUMIF(F12:F16,"x",I12:I16)+
IF(F17="x",I17,0)*Fuel_Switch*INDEX(Data!E47:O47,MATCH(Jurisdiction,TB_Fuelswitchproportion[[#Headers],[BC]:[Tr]],0))+
IF(F18="x",I18,0)*Fuel_Switch*INDEX(Data!E48:O48,MATCH(Jurisdiction,TB_Fuelswitchproportion[[#Headers],[BC]:[Tr]],0))</f>
        <v>17.574168742787702</v>
      </c>
      <c r="J9" s="134">
        <f>IF(AND(F11="x",F11=F17),J11*(1-Fuel_Switch),IF(F11="x",J11,0))+
SUMIF(F12:F16,"x",J12:J16)+
IF(F17="x",J17,0)*Fuel_Switch*INDEX(Data!E47:O47,MATCH(Jurisdiction,TB_Fuelswitchproportion[[#Headers],[BC]:[Tr]],0))+
IF(F18="x",J18,0)*Fuel_Switch*INDEX(Data!E48:O48,MATCH(Jurisdiction,TB_Fuelswitchproportion[[#Headers],[BC]:[Tr]],0))</f>
        <v>0.31480729886333952</v>
      </c>
      <c r="K9" s="763"/>
      <c r="L9" s="764"/>
    </row>
    <row r="10" spans="1:12" x14ac:dyDescent="0.3">
      <c r="C10" s="113" t="s">
        <v>58</v>
      </c>
      <c r="D10" s="114" t="s">
        <v>59</v>
      </c>
      <c r="E10" s="115"/>
      <c r="F10" s="115"/>
      <c r="G10" s="115"/>
      <c r="H10" s="116"/>
      <c r="I10" s="115"/>
      <c r="J10" s="115"/>
      <c r="K10" s="747"/>
      <c r="L10" s="748"/>
    </row>
    <row r="11" spans="1:12" x14ac:dyDescent="0.3">
      <c r="C11" s="117" t="str">
        <f>Data!D72</f>
        <v>Space Heating</v>
      </c>
      <c r="D11" s="118">
        <f>IF($E11="x",$D$8,0)+IF($F11="x",$D$9,0)</f>
        <v>20</v>
      </c>
      <c r="E11" s="118" t="s">
        <v>60</v>
      </c>
      <c r="F11" s="118" t="s">
        <v>60</v>
      </c>
      <c r="G11" s="119">
        <f>INDEX(Table6[Average energy consumption reduction in the category (%)],MATCH($C11,Table6[Measure Category],0))</f>
        <v>0.2</v>
      </c>
      <c r="H11" s="120">
        <f>INDEX(Pct_energy_by_end_use[],MATCH($C11,Pct_energy_by_end_use[End-use],0), MATCH(Jurisdiction, Pct_energy_by_end_use[#Headers],0))</f>
        <v>0.56059294915254243</v>
      </c>
      <c r="I11" s="133">
        <f>G11*H11*'Environmental Benefits - Post'!$D$20</f>
        <v>12.569772015355442</v>
      </c>
      <c r="J11" s="130">
        <f>G11*H11*'Environmental Benefits - Post'!$D$20*'Environmental Benefits - Post'!$F$20</f>
        <v>0.25907628191151671</v>
      </c>
      <c r="K11" s="749"/>
      <c r="L11" s="750"/>
    </row>
    <row r="12" spans="1:12" x14ac:dyDescent="0.3">
      <c r="C12" s="117" t="str">
        <f>Data!D71</f>
        <v>Insulation</v>
      </c>
      <c r="D12" s="118">
        <f t="shared" ref="D12:D17" si="0">IF($E12="x",$D$8,0)+IF($F12="x",$D$9,0)</f>
        <v>15</v>
      </c>
      <c r="E12" s="118" t="s">
        <v>60</v>
      </c>
      <c r="F12" s="118"/>
      <c r="G12" s="119">
        <f>INDEX(Table6[Average energy consumption reduction in the category (%)],MATCH($C12,Table6[Measure Category],0))</f>
        <v>0.3</v>
      </c>
      <c r="H12" s="120">
        <f>INDEX(Pct_energy_by_end_use[],MATCH($C11,Pct_energy_by_end_use[End-use],0), MATCH(Jurisdiction, Pct_energy_by_end_use[#Headers],0))</f>
        <v>0.56059294915254243</v>
      </c>
      <c r="I12" s="133">
        <f>G12*H12*'Environmental Benefits - Post'!$D$20</f>
        <v>18.85465802303316</v>
      </c>
      <c r="J12" s="130">
        <f>G12*H12*'Environmental Benefits - Post'!$D$20*'Environmental Benefits - Post'!$F$20</f>
        <v>0.38861442286727499</v>
      </c>
      <c r="K12" s="749"/>
      <c r="L12" s="750"/>
    </row>
    <row r="13" spans="1:12" x14ac:dyDescent="0.3">
      <c r="C13" s="117" t="str">
        <f>Data!D73</f>
        <v>Space Cooling</v>
      </c>
      <c r="D13" s="118">
        <f t="shared" si="0"/>
        <v>20</v>
      </c>
      <c r="E13" s="118" t="s">
        <v>60</v>
      </c>
      <c r="F13" s="118" t="s">
        <v>60</v>
      </c>
      <c r="G13" s="119">
        <f>INDEX(Table6[Average energy consumption reduction in the category (%)],MATCH($C13,Table6[Measure Category],0))</f>
        <v>0.15</v>
      </c>
      <c r="H13" s="120">
        <f>INDEX(Pct_energy_by_end_use[],MATCH($C13,Pct_energy_by_end_use[End-use],0), MATCH(Jurisdiction, Pct_energy_by_end_use[#Headers],0))</f>
        <v>2.9820067796610169E-2</v>
      </c>
      <c r="I13" s="133">
        <f>G13*H13*'Environmental Benefits - Post'!$D$20</f>
        <v>0.50147543005910711</v>
      </c>
      <c r="J13" s="130">
        <f>G13*H13*'Environmental Benefits - Post'!$D$20*'Environmental Benefits - Post'!$F$20</f>
        <v>1.033593845067193E-2</v>
      </c>
      <c r="K13" s="749"/>
      <c r="L13" s="750"/>
    </row>
    <row r="14" spans="1:12" x14ac:dyDescent="0.3">
      <c r="C14" s="117" t="str">
        <f>Data!D71</f>
        <v>Insulation</v>
      </c>
      <c r="D14" s="118">
        <f t="shared" si="0"/>
        <v>15</v>
      </c>
      <c r="E14" s="118" t="s">
        <v>60</v>
      </c>
      <c r="F14" s="118"/>
      <c r="G14" s="119">
        <f>INDEX(Table6[Average energy consumption reduction in the category (%)],MATCH($C14,Table6[Measure Category],0))</f>
        <v>0.3</v>
      </c>
      <c r="H14" s="120">
        <f>INDEX(Pct_energy_by_end_use[],MATCH($C13,Pct_energy_by_end_use[End-use],0), MATCH(Jurisdiction, Pct_energy_by_end_use[#Headers],0))</f>
        <v>2.9820067796610169E-2</v>
      </c>
      <c r="I14" s="133">
        <f>G14*H14*'Environmental Benefits - Post'!$D$20</f>
        <v>1.0029508601182142</v>
      </c>
      <c r="J14" s="130">
        <f>G14*H14*'Environmental Benefits - Post'!$D$20*'Environmental Benefits - Post'!$F$20</f>
        <v>2.0671876901343859E-2</v>
      </c>
      <c r="K14" s="749"/>
      <c r="L14" s="750"/>
    </row>
    <row r="15" spans="1:12" x14ac:dyDescent="0.3">
      <c r="C15" s="117" t="str">
        <f>Data!D34</f>
        <v>Lighting</v>
      </c>
      <c r="D15" s="118">
        <f t="shared" si="0"/>
        <v>20</v>
      </c>
      <c r="E15" s="118" t="s">
        <v>60</v>
      </c>
      <c r="F15" s="118" t="s">
        <v>60</v>
      </c>
      <c r="G15" s="119">
        <f>INDEX(Table6[Average energy consumption reduction in the category (%)],MATCH($C15,Table6[Measure Category],0))</f>
        <v>0.5</v>
      </c>
      <c r="H15" s="120">
        <f>INDEX(Pct_energy_by_end_use[],MATCH($C15,Pct_energy_by_end_use[End-use],0), MATCH(Jurisdiction, Pct_energy_by_end_use[#Headers],0))</f>
        <v>4.2234111380145281E-2</v>
      </c>
      <c r="I15" s="133">
        <f>G15*H15*'Environmental Benefits - Post'!$D$20</f>
        <v>2.3674626666375511</v>
      </c>
      <c r="J15" s="130">
        <f>G15*H15*'Environmental Benefits - Post'!$D$20*'Environmental Benefits - Post'!F15</f>
        <v>1.3810198888719028E-3</v>
      </c>
      <c r="K15" s="749"/>
      <c r="L15" s="750"/>
    </row>
    <row r="16" spans="1:12" x14ac:dyDescent="0.3">
      <c r="C16" s="117" t="str">
        <f>Data!D24</f>
        <v>Water Heating</v>
      </c>
      <c r="D16" s="118">
        <f t="shared" si="0"/>
        <v>20</v>
      </c>
      <c r="E16" s="121" t="s">
        <v>60</v>
      </c>
      <c r="F16" s="118" t="s">
        <v>60</v>
      </c>
      <c r="G16" s="119">
        <f>INDEX(Table6[Average energy consumption reduction in the category (%)],MATCH($C16,Table6[Measure Category],0))</f>
        <v>0.1</v>
      </c>
      <c r="H16" s="120">
        <f>INDEX(Pct_energy_by_end_use[],MATCH($C16,Pct_energy_by_end_use[End-use],0), MATCH(Jurisdiction, Pct_energy_by_end_use[#Headers],0))</f>
        <v>0.19047649394673125</v>
      </c>
      <c r="I16" s="133">
        <f>G16*H16*'Environmental Benefits - Post'!$D$20</f>
        <v>2.1354586307356023</v>
      </c>
      <c r="J16" s="130">
        <f>G16*H16*'Environmental Benefits - Post'!$D$20*'Environmental Benefits - Post'!$F$20</f>
        <v>4.4014058612278965E-2</v>
      </c>
      <c r="K16" s="749"/>
      <c r="L16" s="750"/>
    </row>
    <row r="17" spans="1:12" x14ac:dyDescent="0.3">
      <c r="C17" s="122" t="s">
        <v>61</v>
      </c>
      <c r="D17" s="118">
        <f t="shared" si="0"/>
        <v>0</v>
      </c>
      <c r="E17" s="121" t="str">
        <f>IF(Fuel_Switch_On="Yes","x","")</f>
        <v/>
      </c>
      <c r="F17" s="118"/>
      <c r="G17" s="119">
        <f>(1-$G$12)*(1-Data!E82/Data!F82)</f>
        <v>0.434</v>
      </c>
      <c r="H17" s="120">
        <f>INDEX(Pct_energy_by_end_use[],MATCH($C11,Pct_energy_by_end_use[End-use],0), MATCH(Jurisdiction, Pct_energy_by_end_use[#Headers],0))</f>
        <v>0.56059294915254243</v>
      </c>
      <c r="I17" s="133">
        <f>G17*H17*'Environmental Benefits - Post'!$D$20</f>
        <v>27.276405273321306</v>
      </c>
      <c r="J17" s="130">
        <f>'Environmental Benefits - Post'!$D$20*$H17*(1-$G$12)*('Environmental Benefits - Post'!$F16-'Environmental Benefits - Post'!$F$15*Data!E82/Data!F82)</f>
        <v>2.1289272074891583</v>
      </c>
      <c r="K17" s="749" t="s">
        <v>62</v>
      </c>
      <c r="L17" s="750"/>
    </row>
    <row r="18" spans="1:12" ht="15" thickBot="1" x14ac:dyDescent="0.35">
      <c r="C18" s="123" t="s">
        <v>63</v>
      </c>
      <c r="D18" s="124">
        <f>IF($E18="x",$D$8,0)+IF($F18="x",$D$9,0)</f>
        <v>0</v>
      </c>
      <c r="E18" s="125" t="str">
        <f>IF(Fuel_Switch_On="Yes","x","")</f>
        <v/>
      </c>
      <c r="F18" s="124"/>
      <c r="G18" s="119">
        <f>(1-$G$12)*(1-Data!E83/Data!F83)</f>
        <v>0.48159999999999992</v>
      </c>
      <c r="H18" s="126">
        <f>INDEX(Pct_energy_by_end_use[],MATCH($C11,Pct_energy_by_end_use[End-use],0), MATCH(Jurisdiction, Pct_energy_by_end_use[#Headers],0))</f>
        <v>0.56059294915254243</v>
      </c>
      <c r="I18" s="133">
        <f>G18*H18*'Environmental Benefits - Post'!$D$20</f>
        <v>30.268011012975894</v>
      </c>
      <c r="J18" s="130">
        <f>'Environmental Benefits - Post'!$D$20*$H18*(1-$G$12)*('Environmental Benefits - Post'!$F17-'Environmental Benefits - Post'!$F$15*Data!E83/Data!F83)</f>
        <v>3.1116521137615507</v>
      </c>
      <c r="K18" s="755" t="s">
        <v>64</v>
      </c>
      <c r="L18" s="756"/>
    </row>
    <row r="19" spans="1:12" x14ac:dyDescent="0.3">
      <c r="C19" s="106" t="s">
        <v>33</v>
      </c>
      <c r="D19" s="56"/>
      <c r="E19" s="56"/>
      <c r="F19" s="56"/>
      <c r="G19" s="107"/>
      <c r="H19" s="108"/>
      <c r="I19" s="107"/>
      <c r="J19" s="107"/>
      <c r="K19" s="747"/>
      <c r="L19" s="748"/>
    </row>
    <row r="20" spans="1:12" x14ac:dyDescent="0.3">
      <c r="C20" s="60" t="s">
        <v>34</v>
      </c>
      <c r="D20" s="105">
        <f>'Environmental Benefits - Post'!D35</f>
        <v>0</v>
      </c>
      <c r="E20" s="105" t="s">
        <v>56</v>
      </c>
      <c r="F20" s="105" t="s">
        <v>56</v>
      </c>
      <c r="G20" s="131">
        <f>5*INDEX(Solar_kW_to_kWh[kWh a year /kW installed],MATCH(Jurisdiction,Solar_kW_to_kWh[Province],0))/GJ_to_kWh/'Environmental Benefits - Post'!$D$20</f>
        <v>0.20422527759224349</v>
      </c>
      <c r="H20" s="132">
        <v>1</v>
      </c>
      <c r="I20" s="104"/>
      <c r="J20" s="104"/>
      <c r="K20" s="749"/>
      <c r="L20" s="750"/>
    </row>
    <row r="21" spans="1:12" ht="15" thickBot="1" x14ac:dyDescent="0.35">
      <c r="C21" s="109" t="s">
        <v>35</v>
      </c>
      <c r="D21" s="110">
        <f>'Environmental Benefits - Post'!D36</f>
        <v>0</v>
      </c>
      <c r="E21" s="110" t="s">
        <v>56</v>
      </c>
      <c r="F21" s="110" t="s">
        <v>56</v>
      </c>
      <c r="G21" s="111">
        <f>Data!E77</f>
        <v>0.4</v>
      </c>
      <c r="H21" s="112">
        <f>H16</f>
        <v>0.19047649394673125</v>
      </c>
      <c r="I21" s="111"/>
      <c r="J21" s="111"/>
      <c r="K21" s="755"/>
      <c r="L21" s="756"/>
    </row>
    <row r="22" spans="1:12" x14ac:dyDescent="0.3">
      <c r="C22" s="1"/>
      <c r="D22" s="1"/>
      <c r="E22" s="1"/>
      <c r="F22" s="1"/>
      <c r="G22" s="1"/>
      <c r="I22" s="1"/>
      <c r="J22" s="1"/>
      <c r="K22" s="1"/>
      <c r="L22" s="1"/>
    </row>
    <row r="23" spans="1:12" x14ac:dyDescent="0.3">
      <c r="H23" s="33"/>
      <c r="L23" s="16"/>
    </row>
    <row r="24" spans="1:12" x14ac:dyDescent="0.3">
      <c r="A24" s="8"/>
      <c r="B24" s="9" t="s">
        <v>65</v>
      </c>
      <c r="C24" s="9"/>
      <c r="D24" s="10"/>
      <c r="E24" s="10"/>
      <c r="F24" s="10"/>
      <c r="G24" s="10"/>
      <c r="H24" s="10"/>
      <c r="I24" s="10"/>
      <c r="J24" s="8"/>
      <c r="K24" s="8"/>
      <c r="L24" s="8"/>
    </row>
    <row r="25" spans="1:12" ht="15" thickBot="1" x14ac:dyDescent="0.35">
      <c r="L25" s="16"/>
    </row>
    <row r="26" spans="1:12" ht="15" thickBot="1" x14ac:dyDescent="0.35">
      <c r="C26" s="44"/>
      <c r="D26" s="753" t="s">
        <v>66</v>
      </c>
      <c r="E26" s="754"/>
      <c r="F26" s="751" t="s">
        <v>67</v>
      </c>
      <c r="G26" s="751"/>
      <c r="H26" s="751" t="s">
        <v>68</v>
      </c>
      <c r="I26" s="752"/>
      <c r="L26" s="16"/>
    </row>
    <row r="27" spans="1:12" ht="43.2" x14ac:dyDescent="0.3">
      <c r="C27" s="3" t="s">
        <v>23</v>
      </c>
      <c r="D27" s="3" t="s">
        <v>39</v>
      </c>
      <c r="E27" s="3" t="s">
        <v>40</v>
      </c>
      <c r="F27" s="3" t="s">
        <v>41</v>
      </c>
      <c r="G27" s="3" t="s">
        <v>69</v>
      </c>
      <c r="H27" s="41" t="s">
        <v>43</v>
      </c>
      <c r="I27" s="3" t="s">
        <v>44</v>
      </c>
      <c r="L27" s="16"/>
    </row>
    <row r="28" spans="1:12" ht="16.2" thickBot="1" x14ac:dyDescent="0.35">
      <c r="C28" s="4" t="s">
        <v>27</v>
      </c>
      <c r="D28" s="5" t="s">
        <v>45</v>
      </c>
      <c r="E28" s="5" t="s">
        <v>46</v>
      </c>
      <c r="F28" s="53" t="s">
        <v>45</v>
      </c>
      <c r="G28" s="53" t="s">
        <v>46</v>
      </c>
      <c r="H28" s="52" t="s">
        <v>29</v>
      </c>
      <c r="I28" s="53" t="s">
        <v>29</v>
      </c>
      <c r="L28" s="16"/>
    </row>
    <row r="29" spans="1:12" x14ac:dyDescent="0.3">
      <c r="C29" s="98" t="s">
        <v>30</v>
      </c>
      <c r="D29" s="80"/>
      <c r="E29" s="81"/>
      <c r="F29" s="64"/>
      <c r="G29" s="65"/>
      <c r="H29" s="64"/>
      <c r="I29" s="65"/>
      <c r="L29" s="16"/>
    </row>
    <row r="30" spans="1:12" x14ac:dyDescent="0.3">
      <c r="C30" s="76" t="s">
        <v>55</v>
      </c>
      <c r="D30" s="89">
        <f>D8*I8</f>
        <v>561.47666438908618</v>
      </c>
      <c r="E30" s="90">
        <f>D8*J8</f>
        <v>10.861403979479375</v>
      </c>
      <c r="F30" s="145">
        <f>'Environmental Benefits - Post'!$D$20*D8</f>
        <v>1681.6709924318579</v>
      </c>
      <c r="G30" s="152">
        <f>'Environmental Benefits - Post'!$E$20*D8</f>
        <v>34.661015934534127</v>
      </c>
      <c r="H30" s="82">
        <f t="shared" ref="H30:I34" si="1">IFERROR(D30/F30,0)</f>
        <v>0.33388021016949154</v>
      </c>
      <c r="I30" s="54">
        <f t="shared" si="1"/>
        <v>0.31336080858085102</v>
      </c>
      <c r="L30" s="16"/>
    </row>
    <row r="31" spans="1:12" x14ac:dyDescent="0.3">
      <c r="C31" s="77" t="s">
        <v>57</v>
      </c>
      <c r="D31" s="89">
        <f>D9*I9</f>
        <v>87.870843713938513</v>
      </c>
      <c r="E31" s="90">
        <f>D9*J9</f>
        <v>1.5740364943166976</v>
      </c>
      <c r="F31" s="145">
        <f>'Environmental Benefits - Post'!$D$20*D9</f>
        <v>560.5569974772859</v>
      </c>
      <c r="G31" s="152">
        <f>'Environmental Benefits - Post'!$E$20*D9</f>
        <v>11.553671978178041</v>
      </c>
      <c r="H31" s="82">
        <f t="shared" si="1"/>
        <v>0.15675630508474581</v>
      </c>
      <c r="I31" s="54">
        <f t="shared" si="1"/>
        <v>0.13623690349610529</v>
      </c>
    </row>
    <row r="32" spans="1:12" x14ac:dyDescent="0.3">
      <c r="C32" s="78" t="s">
        <v>33</v>
      </c>
      <c r="D32" s="2"/>
      <c r="E32" s="42"/>
      <c r="F32" s="146"/>
      <c r="G32" s="153"/>
      <c r="H32" s="66"/>
      <c r="I32" s="67"/>
    </row>
    <row r="33" spans="3:9" x14ac:dyDescent="0.3">
      <c r="C33" s="79" t="s">
        <v>34</v>
      </c>
      <c r="D33" s="89">
        <f>G20*D20*H20*'Environmental Benefits - Post'!$D$20</f>
        <v>0</v>
      </c>
      <c r="E33" s="91">
        <f>D33*'Environmental Benefits - Post'!F15</f>
        <v>0</v>
      </c>
      <c r="F33" s="145">
        <f>'Environmental Benefits - Post'!$D$20*D20</f>
        <v>0</v>
      </c>
      <c r="G33" s="152">
        <f>'Environmental Benefits - Post'!$E$20*D20</f>
        <v>0</v>
      </c>
      <c r="H33" s="82">
        <f>IFERROR(D33/F33,0)</f>
        <v>0</v>
      </c>
      <c r="I33" s="54">
        <f t="shared" si="1"/>
        <v>0</v>
      </c>
    </row>
    <row r="34" spans="3:9" x14ac:dyDescent="0.3">
      <c r="C34" s="79" t="s">
        <v>35</v>
      </c>
      <c r="D34" s="89">
        <f>G21*D21*H21*'Environmental Benefits - Post'!$D$20</f>
        <v>0</v>
      </c>
      <c r="E34" s="91">
        <f>D34*'Environmental Benefits - Post'!F20</f>
        <v>0</v>
      </c>
      <c r="F34" s="145">
        <f>'Environmental Benefits - Post'!$D$20*D21</f>
        <v>0</v>
      </c>
      <c r="G34" s="152">
        <f>'Environmental Benefits - Post'!$E$20*D21</f>
        <v>0</v>
      </c>
      <c r="H34" s="82">
        <f t="shared" ref="H34" si="2">IFERROR(D34/F34,0)</f>
        <v>0</v>
      </c>
      <c r="I34" s="54">
        <f t="shared" si="1"/>
        <v>0</v>
      </c>
    </row>
    <row r="35" spans="3:9" x14ac:dyDescent="0.3">
      <c r="C35" s="78" t="s">
        <v>19</v>
      </c>
      <c r="D35" s="2"/>
      <c r="E35" s="43"/>
      <c r="F35" s="146"/>
      <c r="G35" s="153"/>
      <c r="H35" s="66"/>
      <c r="I35" s="67"/>
    </row>
    <row r="36" spans="3:9" ht="15" thickBot="1" x14ac:dyDescent="0.35">
      <c r="C36" s="99" t="s">
        <v>19</v>
      </c>
      <c r="D36" s="100">
        <f>'Environmental Benefits - Post'!D38*'Environmental Benefits - Post'!E38*'Environmental Benefits - Post'!D20</f>
        <v>0</v>
      </c>
      <c r="E36" s="101">
        <f>D36*'Environmental Benefits - Post'!F20</f>
        <v>0</v>
      </c>
      <c r="F36" s="147">
        <f>'Environmental Benefits - Post'!$D$20*'Environmental Benefits - Post'!D38</f>
        <v>0</v>
      </c>
      <c r="G36" s="154">
        <f>'Environmental Benefits - Post'!$E$20*'Environmental Benefits - Post'!D38</f>
        <v>0</v>
      </c>
      <c r="H36" s="83">
        <f>IFERROR(D36/F36,0)</f>
        <v>0</v>
      </c>
      <c r="I36" s="74">
        <f>IFERROR(E36/G36,0)</f>
        <v>0</v>
      </c>
    </row>
  </sheetData>
  <sheetProtection algorithmName="SHA-512" hashValue="NhnANYn2z8MFYmIXhlfM1b+mpkbtjuGEuATK0+0QkrCptu5FZ04YxjhED9MyS490G1F3kir7NPEllrSKiVMyXA==" saltValue="dw6x+xQj8OGZ0lYOau4plA==" spinCount="100000" sheet="1" objects="1" scenarios="1"/>
  <mergeCells count="19">
    <mergeCell ref="K18:L18"/>
    <mergeCell ref="K19:L19"/>
    <mergeCell ref="K20:L20"/>
    <mergeCell ref="K21:L21"/>
    <mergeCell ref="D26:E26"/>
    <mergeCell ref="F26:G26"/>
    <mergeCell ref="H26:I26"/>
    <mergeCell ref="K17:L17"/>
    <mergeCell ref="K5:L6"/>
    <mergeCell ref="K7:L7"/>
    <mergeCell ref="K8:L8"/>
    <mergeCell ref="K9:L9"/>
    <mergeCell ref="K10:L10"/>
    <mergeCell ref="K11:L11"/>
    <mergeCell ref="K12:L12"/>
    <mergeCell ref="K13:L13"/>
    <mergeCell ref="K14:L14"/>
    <mergeCell ref="K15:L15"/>
    <mergeCell ref="K16:L16"/>
  </mergeCells>
  <pageMargins left="0.7" right="0.7" top="0.75" bottom="0.75" header="0.3" footer="0.3"/>
  <pageSetup paperSize="9" orientation="portrait"/>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S85"/>
  <sheetViews>
    <sheetView zoomScale="90" zoomScaleNormal="90" workbookViewId="0">
      <selection activeCell="E64" sqref="E64"/>
    </sheetView>
  </sheetViews>
  <sheetFormatPr defaultRowHeight="14.4" x14ac:dyDescent="0.3"/>
  <cols>
    <col min="1" max="1" width="3.44140625" customWidth="1"/>
    <col min="2" max="2" width="5" customWidth="1"/>
    <col min="4" max="4" width="21.33203125" bestFit="1" customWidth="1"/>
    <col min="5" max="5" width="27.44140625" customWidth="1"/>
    <col min="6" max="6" width="24.6640625" customWidth="1"/>
    <col min="7" max="7" width="9.5546875" bestFit="1" customWidth="1"/>
    <col min="8" max="9" width="12.33203125" bestFit="1" customWidth="1"/>
    <col min="10" max="13" width="9.5546875" bestFit="1" customWidth="1"/>
    <col min="14" max="15" width="9" bestFit="1" customWidth="1"/>
    <col min="17" max="17" width="10" customWidth="1"/>
  </cols>
  <sheetData>
    <row r="1" spans="1:17" x14ac:dyDescent="0.3">
      <c r="A1" s="18" t="s">
        <v>70</v>
      </c>
      <c r="B1" s="18"/>
      <c r="C1" s="18"/>
      <c r="D1" s="18"/>
      <c r="E1" s="18"/>
      <c r="F1" s="18"/>
      <c r="G1" s="18"/>
      <c r="H1" s="18"/>
      <c r="I1" s="18"/>
      <c r="J1" s="18"/>
      <c r="K1" s="18"/>
      <c r="L1" s="18"/>
      <c r="M1" s="18"/>
      <c r="N1" s="18"/>
      <c r="O1" s="18"/>
      <c r="P1" s="18"/>
      <c r="Q1" s="18"/>
    </row>
    <row r="2" spans="1:17" x14ac:dyDescent="0.3">
      <c r="A2" s="9"/>
      <c r="B2" s="9" t="s">
        <v>71</v>
      </c>
      <c r="C2" s="9"/>
      <c r="D2" s="9"/>
      <c r="E2" s="9"/>
      <c r="F2" s="9"/>
      <c r="G2" s="9"/>
      <c r="H2" s="9"/>
      <c r="I2" s="9"/>
      <c r="J2" s="9"/>
      <c r="K2" s="9"/>
      <c r="L2" s="9"/>
      <c r="M2" s="9"/>
      <c r="N2" s="9"/>
      <c r="O2" s="9"/>
      <c r="P2" s="9"/>
      <c r="Q2" s="9"/>
    </row>
    <row r="3" spans="1:17" x14ac:dyDescent="0.3">
      <c r="B3" s="49"/>
    </row>
    <row r="4" spans="1:17" x14ac:dyDescent="0.3">
      <c r="C4" s="16" t="s">
        <v>72</v>
      </c>
    </row>
    <row r="5" spans="1:17" x14ac:dyDescent="0.3">
      <c r="C5" s="16"/>
      <c r="D5" t="s">
        <v>73</v>
      </c>
      <c r="E5" t="s">
        <v>74</v>
      </c>
      <c r="F5" t="s">
        <v>75</v>
      </c>
      <c r="G5" t="s">
        <v>76</v>
      </c>
      <c r="H5" t="s">
        <v>77</v>
      </c>
      <c r="I5" t="s">
        <v>78</v>
      </c>
      <c r="J5" t="s">
        <v>11</v>
      </c>
      <c r="K5" t="s">
        <v>79</v>
      </c>
      <c r="L5" t="s">
        <v>80</v>
      </c>
      <c r="M5" t="s">
        <v>81</v>
      </c>
      <c r="N5" t="s">
        <v>82</v>
      </c>
      <c r="O5" t="s">
        <v>83</v>
      </c>
    </row>
    <row r="6" spans="1:17" x14ac:dyDescent="0.3">
      <c r="C6" s="16"/>
      <c r="D6" t="s">
        <v>15</v>
      </c>
      <c r="E6" s="84">
        <v>40.757084003015002</v>
      </c>
      <c r="F6" s="84">
        <v>18.818807598300001</v>
      </c>
      <c r="G6" s="84">
        <v>29.016488336329498</v>
      </c>
      <c r="H6" s="84">
        <v>62.084366710573804</v>
      </c>
      <c r="I6" s="84">
        <v>35.389316724075698</v>
      </c>
      <c r="J6" s="84">
        <v>73.735349824775298</v>
      </c>
      <c r="K6" s="84">
        <v>64.008622258622196</v>
      </c>
      <c r="L6" s="84">
        <v>41.132447726627099</v>
      </c>
      <c r="M6" s="84">
        <v>66.6098328146348</v>
      </c>
      <c r="N6" s="84">
        <v>13.814912495911001</v>
      </c>
      <c r="O6" s="84">
        <v>33.454175484291</v>
      </c>
    </row>
    <row r="7" spans="1:17" x14ac:dyDescent="0.3">
      <c r="C7" s="16"/>
      <c r="D7" t="s">
        <v>16</v>
      </c>
      <c r="E7" s="84">
        <v>45.3176784012187</v>
      </c>
      <c r="F7" s="84">
        <v>93.141070288467105</v>
      </c>
      <c r="G7" s="84">
        <v>78.122980246485696</v>
      </c>
      <c r="H7" s="84">
        <v>42.857766762015302</v>
      </c>
      <c r="I7" s="84">
        <v>68.786921118139702</v>
      </c>
      <c r="J7" s="84">
        <v>8.3119679281370793</v>
      </c>
      <c r="K7" s="84">
        <v>1.94030773197439</v>
      </c>
      <c r="L7" s="84">
        <v>0.62175895724804298</v>
      </c>
      <c r="M7" s="84">
        <v>0</v>
      </c>
      <c r="N7" s="84">
        <v>0</v>
      </c>
      <c r="O7" s="84">
        <v>5.20078137717727</v>
      </c>
    </row>
    <row r="8" spans="1:17" x14ac:dyDescent="0.3">
      <c r="C8" s="16"/>
      <c r="D8" t="s">
        <v>17</v>
      </c>
      <c r="E8" s="84">
        <v>0.20525482469959</v>
      </c>
      <c r="F8" s="84">
        <v>3.5308684969141101E-3</v>
      </c>
      <c r="G8" s="84">
        <v>0.77248532565141104</v>
      </c>
      <c r="H8" s="84">
        <v>0.22503332008324101</v>
      </c>
      <c r="I8" s="84">
        <v>2.87101392093903</v>
      </c>
      <c r="J8" s="84">
        <v>8.1820058628619297</v>
      </c>
      <c r="K8" s="84">
        <v>23.864667698001</v>
      </c>
      <c r="L8" s="84">
        <v>36.642927371302399</v>
      </c>
      <c r="M8" s="84">
        <v>18.341705252770598</v>
      </c>
      <c r="N8" s="84">
        <v>50.584130683676797</v>
      </c>
      <c r="O8" s="84">
        <v>19.990265342666401</v>
      </c>
    </row>
    <row r="9" spans="1:17" x14ac:dyDescent="0.3">
      <c r="C9" s="16"/>
      <c r="D9" t="s">
        <v>19</v>
      </c>
      <c r="E9" s="84">
        <v>0.46433650659445402</v>
      </c>
      <c r="F9" s="84">
        <v>1.00003466377748</v>
      </c>
      <c r="G9" s="84">
        <v>1.2207325261539099</v>
      </c>
      <c r="H9" s="84">
        <v>0.32007025146595303</v>
      </c>
      <c r="I9" s="84">
        <v>2.4730354811328801</v>
      </c>
      <c r="J9" s="84">
        <v>0.55048355141514405</v>
      </c>
      <c r="K9" s="84">
        <v>0.971308429641763</v>
      </c>
      <c r="L9" s="84">
        <v>1.4886588863953401</v>
      </c>
      <c r="M9" s="84">
        <v>1.63507666616061</v>
      </c>
      <c r="N9" s="84">
        <v>0.96475302584232903</v>
      </c>
      <c r="O9" s="84">
        <v>4.8891746703564998</v>
      </c>
    </row>
    <row r="10" spans="1:17" x14ac:dyDescent="0.3">
      <c r="C10" s="16"/>
      <c r="D10" t="s">
        <v>18</v>
      </c>
      <c r="E10" s="84">
        <v>8.9088836688056592</v>
      </c>
      <c r="F10" s="84">
        <v>3.8283006365236898</v>
      </c>
      <c r="G10" s="84">
        <v>3.6084927115597001</v>
      </c>
      <c r="H10" s="84">
        <v>6.6241624513188997</v>
      </c>
      <c r="I10" s="84">
        <v>9.6157582018808707</v>
      </c>
      <c r="J10" s="84">
        <v>33.764556379229703</v>
      </c>
      <c r="K10" s="84">
        <v>22.192760942760899</v>
      </c>
      <c r="L10" s="84">
        <v>30.5530006273741</v>
      </c>
      <c r="M10" s="84">
        <v>27.000588279945301</v>
      </c>
      <c r="N10" s="84">
        <v>32.6900964998364</v>
      </c>
      <c r="O10" s="84">
        <v>2.7161972977372599</v>
      </c>
    </row>
    <row r="11" spans="1:17" s="155" customFormat="1" x14ac:dyDescent="0.3">
      <c r="C11" s="156"/>
      <c r="D11" s="155" t="s">
        <v>84</v>
      </c>
      <c r="E11" s="84">
        <f>SUM(E6:E10)</f>
        <v>95.653237404333396</v>
      </c>
      <c r="F11" s="84">
        <f t="shared" ref="F11:O11" si="0">SUM(F6:F10)</f>
        <v>116.79174405556519</v>
      </c>
      <c r="G11" s="84">
        <f t="shared" si="0"/>
        <v>112.74117914618023</v>
      </c>
      <c r="H11" s="84">
        <f t="shared" si="0"/>
        <v>112.11139949545719</v>
      </c>
      <c r="I11" s="84">
        <f t="shared" si="0"/>
        <v>119.13604544616818</v>
      </c>
      <c r="J11" s="84">
        <f t="shared" si="0"/>
        <v>124.54436354641915</v>
      </c>
      <c r="K11" s="84">
        <f t="shared" si="0"/>
        <v>112.97766706100025</v>
      </c>
      <c r="L11" s="84">
        <f t="shared" si="0"/>
        <v>110.43879356894698</v>
      </c>
      <c r="M11" s="84">
        <f t="shared" si="0"/>
        <v>113.58720301351131</v>
      </c>
      <c r="N11" s="84">
        <f t="shared" si="0"/>
        <v>98.05389270526652</v>
      </c>
      <c r="O11" s="84">
        <f t="shared" si="0"/>
        <v>66.250594172228432</v>
      </c>
    </row>
    <row r="12" spans="1:17" x14ac:dyDescent="0.3">
      <c r="C12" s="16"/>
      <c r="E12" s="85"/>
      <c r="F12" s="85"/>
      <c r="G12" s="85"/>
      <c r="H12" s="85"/>
      <c r="I12" s="85"/>
      <c r="J12" s="85"/>
      <c r="K12" s="85"/>
      <c r="L12" s="85"/>
      <c r="M12" s="85"/>
      <c r="N12" s="85"/>
      <c r="O12" s="85"/>
    </row>
    <row r="13" spans="1:17" x14ac:dyDescent="0.3">
      <c r="C13" s="16" t="s">
        <v>85</v>
      </c>
      <c r="E13" s="85"/>
      <c r="F13" s="85"/>
      <c r="G13" s="85"/>
      <c r="H13" s="85"/>
      <c r="I13" s="85"/>
      <c r="J13" s="85"/>
      <c r="K13" s="85"/>
      <c r="L13" s="85"/>
      <c r="M13" s="85"/>
      <c r="N13" s="85"/>
      <c r="O13" s="85"/>
    </row>
    <row r="14" spans="1:17" x14ac:dyDescent="0.3">
      <c r="C14" s="16"/>
      <c r="D14" t="s">
        <v>73</v>
      </c>
      <c r="E14" s="85" t="s">
        <v>74</v>
      </c>
      <c r="F14" s="85" t="s">
        <v>75</v>
      </c>
      <c r="G14" s="85" t="s">
        <v>76</v>
      </c>
      <c r="H14" s="85" t="s">
        <v>77</v>
      </c>
      <c r="I14" s="85" t="s">
        <v>78</v>
      </c>
      <c r="J14" s="85" t="s">
        <v>11</v>
      </c>
      <c r="K14" s="85" t="s">
        <v>79</v>
      </c>
      <c r="L14" s="85" t="s">
        <v>80</v>
      </c>
      <c r="M14" s="85" t="s">
        <v>81</v>
      </c>
      <c r="N14" s="85" t="s">
        <v>82</v>
      </c>
      <c r="O14" s="85" t="s">
        <v>83</v>
      </c>
    </row>
    <row r="15" spans="1:17" x14ac:dyDescent="0.3">
      <c r="C15" s="16"/>
      <c r="D15" t="s">
        <v>18</v>
      </c>
      <c r="E15" s="84">
        <v>0.20919993140331999</v>
      </c>
      <c r="F15" s="84">
        <v>8.9896879292665405E-2</v>
      </c>
      <c r="G15" s="84">
        <v>8.4734887045420093E-2</v>
      </c>
      <c r="H15" s="84">
        <v>0.155550879052644</v>
      </c>
      <c r="I15" s="84">
        <v>0.225799551975745</v>
      </c>
      <c r="J15" s="84">
        <v>0.79286660642171902</v>
      </c>
      <c r="K15" s="84">
        <v>0.52113477113477102</v>
      </c>
      <c r="L15" s="84">
        <v>0.71745379748613303</v>
      </c>
      <c r="M15" s="84">
        <v>0.634037687870046</v>
      </c>
      <c r="N15" s="84">
        <v>0.76764393195943703</v>
      </c>
      <c r="O15" s="84">
        <v>6.3779912095067504E-2</v>
      </c>
    </row>
    <row r="16" spans="1:17" x14ac:dyDescent="0.3">
      <c r="C16" s="16"/>
      <c r="D16" t="s">
        <v>15</v>
      </c>
      <c r="E16" s="84">
        <v>0.109817698563679</v>
      </c>
      <c r="F16" s="84">
        <v>4.1819572440666697</v>
      </c>
      <c r="G16" s="84">
        <v>5.7226963107761</v>
      </c>
      <c r="H16" s="84">
        <v>3.6215880581168002E-2</v>
      </c>
      <c r="I16" s="84">
        <v>0.19660731513375301</v>
      </c>
      <c r="J16" s="84">
        <v>3.0723062426989699E-2</v>
      </c>
      <c r="K16" s="84">
        <v>5.8674570403736999</v>
      </c>
      <c r="L16" s="84">
        <v>8.2264895453254301</v>
      </c>
      <c r="M16" s="84">
        <v>0.74010925349594203</v>
      </c>
      <c r="N16" s="84">
        <v>0.78284504143495803</v>
      </c>
      <c r="O16" s="84">
        <v>2.22563195235769</v>
      </c>
    </row>
    <row r="17" spans="3:15" x14ac:dyDescent="0.3">
      <c r="C17" s="16"/>
      <c r="D17" t="s">
        <v>16</v>
      </c>
      <c r="E17" s="84">
        <v>2.2494605987852001</v>
      </c>
      <c r="F17" s="84">
        <v>4.6280713719116902</v>
      </c>
      <c r="G17" s="84">
        <v>3.6836784422447901</v>
      </c>
      <c r="H17" s="84">
        <v>2.0834340080487799</v>
      </c>
      <c r="I17" s="84">
        <v>3.3474451455819199</v>
      </c>
      <c r="J17" s="84">
        <v>0.40428033002475899</v>
      </c>
      <c r="K17" s="84">
        <v>9.5068553401886705E-2</v>
      </c>
      <c r="L17" s="84">
        <v>3.0463538951816999E-2</v>
      </c>
      <c r="M17" s="84">
        <v>0</v>
      </c>
      <c r="N17" s="84">
        <v>0</v>
      </c>
      <c r="O17" s="84">
        <v>0.25482663193879201</v>
      </c>
    </row>
    <row r="18" spans="3:15" x14ac:dyDescent="0.3">
      <c r="C18" s="16"/>
      <c r="D18" t="s">
        <v>17</v>
      </c>
      <c r="E18" s="84">
        <v>1.4554460578844301E-2</v>
      </c>
      <c r="F18" s="84">
        <v>2.5070778596810199E-4</v>
      </c>
      <c r="G18" s="84">
        <v>5.47770148801143E-2</v>
      </c>
      <c r="H18" s="84">
        <v>1.5957267155620999E-2</v>
      </c>
      <c r="I18" s="84">
        <v>0.20358601105264901</v>
      </c>
      <c r="J18" s="84">
        <v>0.580192636891948</v>
      </c>
      <c r="K18" s="84">
        <v>1.6922604422604399</v>
      </c>
      <c r="L18" s="84">
        <v>2.59838068811391</v>
      </c>
      <c r="M18" s="84">
        <v>1.30062528465158</v>
      </c>
      <c r="N18" s="84">
        <v>3.58695207719986</v>
      </c>
      <c r="O18" s="84">
        <v>1.41751587172391</v>
      </c>
    </row>
    <row r="19" spans="3:15" x14ac:dyDescent="0.3">
      <c r="C19" s="16"/>
      <c r="D19" t="s">
        <v>19</v>
      </c>
      <c r="E19" s="84">
        <v>2.83974300174283E-2</v>
      </c>
      <c r="F19" s="84">
        <v>6.1158189357736599E-2</v>
      </c>
      <c r="G19" s="84">
        <v>9.38698044142173E-2</v>
      </c>
      <c r="H19" s="84">
        <v>1.9576360797395699E-2</v>
      </c>
      <c r="I19" s="84">
        <v>0.151240892206817</v>
      </c>
      <c r="J19" s="84">
        <v>3.36656601352327E-2</v>
      </c>
      <c r="K19" s="84">
        <v>5.9400309400309402E-2</v>
      </c>
      <c r="L19" s="84">
        <v>9.1041035260921999E-2</v>
      </c>
      <c r="M19" s="84">
        <v>9.9993358129649296E-2</v>
      </c>
      <c r="N19" s="84">
        <v>5.9003925417075498E-2</v>
      </c>
      <c r="O19" s="84">
        <v>0.29900699983721302</v>
      </c>
    </row>
    <row r="20" spans="3:15" x14ac:dyDescent="0.3">
      <c r="E20" s="85"/>
      <c r="F20" s="85"/>
      <c r="G20" s="85"/>
      <c r="H20" s="85"/>
      <c r="I20" s="85"/>
      <c r="J20" s="85"/>
      <c r="K20" s="85"/>
      <c r="L20" s="85"/>
      <c r="M20" s="85"/>
      <c r="N20" s="85"/>
      <c r="O20" s="85"/>
    </row>
    <row r="21" spans="3:15" x14ac:dyDescent="0.3">
      <c r="C21" s="16" t="s">
        <v>86</v>
      </c>
      <c r="E21" s="85"/>
      <c r="F21" s="85"/>
      <c r="G21" s="85"/>
      <c r="H21" s="85"/>
      <c r="I21" s="85"/>
      <c r="J21" s="85"/>
      <c r="K21" s="85"/>
      <c r="L21" s="85"/>
      <c r="M21" s="85"/>
      <c r="N21" s="85"/>
      <c r="O21" s="85"/>
    </row>
    <row r="22" spans="3:15" x14ac:dyDescent="0.3">
      <c r="C22" s="16"/>
      <c r="D22" s="19" t="s">
        <v>87</v>
      </c>
      <c r="E22" s="86" t="s">
        <v>74</v>
      </c>
      <c r="F22" s="86" t="s">
        <v>75</v>
      </c>
      <c r="G22" s="86" t="s">
        <v>76</v>
      </c>
      <c r="H22" s="86" t="s">
        <v>77</v>
      </c>
      <c r="I22" s="86" t="s">
        <v>78</v>
      </c>
      <c r="J22" s="86" t="s">
        <v>11</v>
      </c>
      <c r="K22" s="86" t="s">
        <v>79</v>
      </c>
      <c r="L22" s="86" t="s">
        <v>80</v>
      </c>
      <c r="M22" s="86" t="s">
        <v>81</v>
      </c>
      <c r="N22" s="86" t="s">
        <v>82</v>
      </c>
      <c r="O22" s="86" t="s">
        <v>88</v>
      </c>
    </row>
    <row r="23" spans="3:15" s="155" customFormat="1" x14ac:dyDescent="0.3">
      <c r="C23" s="156"/>
      <c r="D23" s="155" t="s">
        <v>89</v>
      </c>
      <c r="E23" s="84">
        <v>77.110489999999999</v>
      </c>
      <c r="F23" s="84">
        <v>110.13770700000001</v>
      </c>
      <c r="G23" s="84">
        <v>27.896961999999998</v>
      </c>
      <c r="H23" s="84">
        <v>28.940611000000001</v>
      </c>
      <c r="I23" s="84">
        <v>330.40493199999997</v>
      </c>
      <c r="J23" s="84">
        <v>235.075278</v>
      </c>
      <c r="K23" s="84">
        <v>23.732688</v>
      </c>
      <c r="L23" s="84">
        <v>27.847660000000001</v>
      </c>
      <c r="M23" s="84">
        <v>18.738513000000001</v>
      </c>
      <c r="N23" s="84">
        <v>3.9820579999999999</v>
      </c>
      <c r="O23" s="84">
        <v>1.2305759999999999</v>
      </c>
    </row>
    <row r="24" spans="3:15" s="155" customFormat="1" x14ac:dyDescent="0.3">
      <c r="C24" s="156"/>
      <c r="D24" s="155" t="s">
        <v>90</v>
      </c>
      <c r="E24" s="84">
        <v>39.721322000000001</v>
      </c>
      <c r="F24" s="84">
        <v>42.824874000000001</v>
      </c>
      <c r="G24" s="84">
        <v>11.099116</v>
      </c>
      <c r="H24" s="84">
        <v>9.8333490000000001</v>
      </c>
      <c r="I24" s="84">
        <v>110.88841600000001</v>
      </c>
      <c r="J24" s="84">
        <v>53.760987999999998</v>
      </c>
      <c r="K24" s="84">
        <v>4.6417219999999997</v>
      </c>
      <c r="L24" s="84">
        <v>6.7885229999999996</v>
      </c>
      <c r="M24" s="84">
        <v>3.1340249999999998</v>
      </c>
      <c r="N24" s="84">
        <v>1.152075</v>
      </c>
      <c r="O24" s="84">
        <v>0.436886</v>
      </c>
    </row>
    <row r="25" spans="3:15" s="155" customFormat="1" x14ac:dyDescent="0.3">
      <c r="C25" s="156"/>
      <c r="D25" s="155" t="s">
        <v>91</v>
      </c>
      <c r="E25" s="84">
        <v>27.675578000000002</v>
      </c>
      <c r="F25" s="84">
        <v>17.149958000000002</v>
      </c>
      <c r="G25" s="84">
        <v>6.956823</v>
      </c>
      <c r="H25" s="84">
        <v>9.1312429999999996</v>
      </c>
      <c r="I25" s="84">
        <v>64.015531999999993</v>
      </c>
      <c r="J25" s="84">
        <v>57.278337999999998</v>
      </c>
      <c r="K25" s="84">
        <v>5.3041770000000001</v>
      </c>
      <c r="L25" s="84">
        <v>6.0588470000000001</v>
      </c>
      <c r="M25" s="84">
        <v>3.643913</v>
      </c>
      <c r="N25" s="84">
        <v>0.45592899999999997</v>
      </c>
      <c r="O25" s="84">
        <v>0.65637500000000004</v>
      </c>
    </row>
    <row r="26" spans="3:15" s="155" customFormat="1" x14ac:dyDescent="0.3">
      <c r="C26" s="156"/>
      <c r="D26" s="155" t="s">
        <v>92</v>
      </c>
      <c r="E26" s="84">
        <v>8.307404</v>
      </c>
      <c r="F26" s="84">
        <v>5.1625030000000001</v>
      </c>
      <c r="G26" s="84">
        <v>2.0385900000000001</v>
      </c>
      <c r="H26" s="84">
        <v>2.1803360000000001</v>
      </c>
      <c r="I26" s="84">
        <v>17.943612999999999</v>
      </c>
      <c r="J26" s="84">
        <v>14.284827999999999</v>
      </c>
      <c r="K26" s="84">
        <v>1.164526</v>
      </c>
      <c r="L26" s="84">
        <v>1.4673529999999999</v>
      </c>
      <c r="M26" s="84">
        <v>0.74974200000000002</v>
      </c>
      <c r="N26" s="84">
        <v>0.100346</v>
      </c>
      <c r="O26" s="84">
        <v>0.16106200000000001</v>
      </c>
    </row>
    <row r="27" spans="3:15" s="155" customFormat="1" x14ac:dyDescent="0.3">
      <c r="C27" s="156"/>
      <c r="D27" s="155" t="s">
        <v>93</v>
      </c>
      <c r="E27" s="84">
        <v>0.79704900000000001</v>
      </c>
      <c r="F27" s="84">
        <v>0.11056100000000001</v>
      </c>
      <c r="G27" s="84">
        <v>0.55274800000000002</v>
      </c>
      <c r="H27" s="84">
        <v>1.539461</v>
      </c>
      <c r="I27" s="84">
        <v>28.410511</v>
      </c>
      <c r="J27" s="84">
        <v>5.192259</v>
      </c>
      <c r="K27" s="84">
        <v>0.14616299999999999</v>
      </c>
      <c r="L27" s="84">
        <v>0.18873999999999999</v>
      </c>
      <c r="M27" s="84">
        <v>4.8830000000000002E-3</v>
      </c>
      <c r="N27" s="84">
        <v>8.0569999999999999E-3</v>
      </c>
      <c r="O27" s="84">
        <v>1.01E-4</v>
      </c>
    </row>
    <row r="28" spans="3:15" s="155" customFormat="1" x14ac:dyDescent="0.3">
      <c r="C28" s="156"/>
      <c r="D28" s="155" t="s">
        <v>84</v>
      </c>
      <c r="E28" s="157">
        <f>SUM(Table3[BC])</f>
        <v>153.61184299999996</v>
      </c>
      <c r="F28" s="157">
        <f>SUM(Table3[AB])</f>
        <v>175.38560299999997</v>
      </c>
      <c r="G28" s="157">
        <f>SUM(Table3[SK])</f>
        <v>48.544238999999997</v>
      </c>
      <c r="H28" s="157">
        <f>SUM(Table3[MB])</f>
        <v>51.625</v>
      </c>
      <c r="I28" s="157">
        <f>SUM(Table3[ON])</f>
        <v>551.663004</v>
      </c>
      <c r="J28" s="157">
        <f>SUM(Table3[QC])</f>
        <v>365.59169100000003</v>
      </c>
      <c r="K28" s="157">
        <f>SUM(Table3[NB])</f>
        <v>34.989276000000004</v>
      </c>
      <c r="L28" s="157">
        <f>SUM(Table3[NS])</f>
        <v>42.351123000000008</v>
      </c>
      <c r="M28" s="157">
        <f>SUM(Table3[NL])</f>
        <v>26.271076000000004</v>
      </c>
      <c r="N28" s="157">
        <f>SUM(Table3[PE])</f>
        <v>5.6984650000000006</v>
      </c>
      <c r="O28" s="157">
        <f>SUM(Table3[Tr])</f>
        <v>2.4849999999999999</v>
      </c>
    </row>
    <row r="29" spans="3:15" x14ac:dyDescent="0.3">
      <c r="C29" s="16"/>
      <c r="D29" s="19"/>
      <c r="E29" s="25"/>
      <c r="F29" s="25"/>
      <c r="G29" s="25"/>
      <c r="H29" s="25"/>
      <c r="I29" s="25"/>
      <c r="J29" s="25"/>
      <c r="K29" s="25"/>
      <c r="L29" s="25"/>
      <c r="M29" s="25"/>
      <c r="N29" s="25"/>
      <c r="O29" s="25"/>
    </row>
    <row r="30" spans="3:15" x14ac:dyDescent="0.3">
      <c r="C30" s="16" t="s">
        <v>94</v>
      </c>
      <c r="D30" s="27" t="s">
        <v>87</v>
      </c>
      <c r="E30" s="27" t="s">
        <v>74</v>
      </c>
      <c r="F30" s="27" t="s">
        <v>75</v>
      </c>
      <c r="G30" s="27" t="s">
        <v>76</v>
      </c>
      <c r="H30" s="27" t="s">
        <v>77</v>
      </c>
      <c r="I30" s="27" t="s">
        <v>78</v>
      </c>
      <c r="J30" s="27" t="s">
        <v>11</v>
      </c>
      <c r="K30" s="27" t="s">
        <v>79</v>
      </c>
      <c r="L30" s="27" t="s">
        <v>80</v>
      </c>
      <c r="M30" s="27" t="s">
        <v>81</v>
      </c>
      <c r="N30" s="27" t="s">
        <v>82</v>
      </c>
      <c r="O30" s="28" t="s">
        <v>88</v>
      </c>
    </row>
    <row r="31" spans="3:15" s="155" customFormat="1" x14ac:dyDescent="0.3">
      <c r="C31" s="156"/>
      <c r="D31" s="158" t="s">
        <v>89</v>
      </c>
      <c r="E31" s="139">
        <f t="shared" ref="E31:O31" si="1">E23/E$28</f>
        <v>0.50198271496553826</v>
      </c>
      <c r="F31" s="139">
        <f t="shared" si="1"/>
        <v>0.6279746177341593</v>
      </c>
      <c r="G31" s="139">
        <f t="shared" si="1"/>
        <v>0.57467090997141801</v>
      </c>
      <c r="H31" s="139">
        <f t="shared" si="1"/>
        <v>0.56059294915254243</v>
      </c>
      <c r="I31" s="139">
        <f t="shared" si="1"/>
        <v>0.59892530331796545</v>
      </c>
      <c r="J31" s="139">
        <f t="shared" si="1"/>
        <v>0.64299950952659912</v>
      </c>
      <c r="K31" s="139">
        <f t="shared" si="1"/>
        <v>0.6782846264095318</v>
      </c>
      <c r="L31" s="139">
        <f t="shared" si="1"/>
        <v>0.65754242219267711</v>
      </c>
      <c r="M31" s="139">
        <f t="shared" si="1"/>
        <v>0.71327542884044792</v>
      </c>
      <c r="N31" s="139">
        <f t="shared" si="1"/>
        <v>0.69879485089405646</v>
      </c>
      <c r="O31" s="139">
        <f t="shared" si="1"/>
        <v>0.49520160965794768</v>
      </c>
    </row>
    <row r="32" spans="3:15" s="155" customFormat="1" x14ac:dyDescent="0.3">
      <c r="C32" s="156"/>
      <c r="D32" s="159" t="s">
        <v>90</v>
      </c>
      <c r="E32" s="139">
        <f t="shared" ref="E32:O32" si="2">E24/E$28</f>
        <v>0.25858241932557252</v>
      </c>
      <c r="F32" s="139">
        <f t="shared" si="2"/>
        <v>0.24417553817116908</v>
      </c>
      <c r="G32" s="139">
        <f t="shared" si="2"/>
        <v>0.22863920062687565</v>
      </c>
      <c r="H32" s="139">
        <f t="shared" si="2"/>
        <v>0.19047649394673125</v>
      </c>
      <c r="I32" s="139">
        <f t="shared" si="2"/>
        <v>0.20100752668924671</v>
      </c>
      <c r="J32" s="139">
        <f t="shared" si="2"/>
        <v>0.14705199632121835</v>
      </c>
      <c r="K32" s="139">
        <f t="shared" si="2"/>
        <v>0.13266127598639077</v>
      </c>
      <c r="L32" s="139">
        <f t="shared" si="2"/>
        <v>0.16029145201179196</v>
      </c>
      <c r="M32" s="139">
        <f t="shared" si="2"/>
        <v>0.11929564666479589</v>
      </c>
      <c r="N32" s="139">
        <f t="shared" si="2"/>
        <v>0.20217286585071592</v>
      </c>
      <c r="O32" s="139">
        <f t="shared" si="2"/>
        <v>0.1758092555331992</v>
      </c>
    </row>
    <row r="33" spans="3:19" s="155" customFormat="1" x14ac:dyDescent="0.3">
      <c r="C33" s="156"/>
      <c r="D33" s="158" t="s">
        <v>91</v>
      </c>
      <c r="E33" s="139">
        <f t="shared" ref="E33:O33" si="3">E25/E$28</f>
        <v>0.18016565298288889</v>
      </c>
      <c r="F33" s="139">
        <f t="shared" si="3"/>
        <v>9.778429760851011E-2</v>
      </c>
      <c r="G33" s="139">
        <f t="shared" si="3"/>
        <v>0.1433089310556501</v>
      </c>
      <c r="H33" s="139">
        <f t="shared" si="3"/>
        <v>0.17687637772397094</v>
      </c>
      <c r="I33" s="139">
        <f t="shared" si="3"/>
        <v>0.11604100970309039</v>
      </c>
      <c r="J33" s="139">
        <f t="shared" si="3"/>
        <v>0.15667297537131389</v>
      </c>
      <c r="K33" s="139">
        <f t="shared" si="3"/>
        <v>0.15159436279847571</v>
      </c>
      <c r="L33" s="139">
        <f t="shared" si="3"/>
        <v>0.14306225126545047</v>
      </c>
      <c r="M33" s="139">
        <f t="shared" si="3"/>
        <v>0.1387043682565571</v>
      </c>
      <c r="N33" s="139">
        <f t="shared" si="3"/>
        <v>8.0009090167264332E-2</v>
      </c>
      <c r="O33" s="139">
        <f t="shared" si="3"/>
        <v>0.26413480885311874</v>
      </c>
    </row>
    <row r="34" spans="3:19" s="155" customFormat="1" x14ac:dyDescent="0.3">
      <c r="C34" s="156"/>
      <c r="D34" s="159" t="s">
        <v>92</v>
      </c>
      <c r="E34" s="139">
        <f t="shared" ref="E34:O34" si="4">E26/E$28</f>
        <v>5.4080491697505395E-2</v>
      </c>
      <c r="F34" s="139">
        <f t="shared" si="4"/>
        <v>2.9435158369298994E-2</v>
      </c>
      <c r="G34" s="139">
        <f t="shared" si="4"/>
        <v>4.1994478479722389E-2</v>
      </c>
      <c r="H34" s="139">
        <f t="shared" si="4"/>
        <v>4.2234111380145281E-2</v>
      </c>
      <c r="I34" s="139">
        <f t="shared" si="4"/>
        <v>3.2526402658678191E-2</v>
      </c>
      <c r="J34" s="139">
        <f t="shared" si="4"/>
        <v>3.9073174669059962E-2</v>
      </c>
      <c r="K34" s="139">
        <f t="shared" si="4"/>
        <v>3.3282369146477905E-2</v>
      </c>
      <c r="L34" s="139">
        <f t="shared" si="4"/>
        <v>3.4647322102887325E-2</v>
      </c>
      <c r="M34" s="139">
        <f t="shared" si="4"/>
        <v>2.8538686424568218E-2</v>
      </c>
      <c r="N34" s="139">
        <f t="shared" si="4"/>
        <v>1.7609303558063442E-2</v>
      </c>
      <c r="O34" s="139">
        <f t="shared" si="4"/>
        <v>6.4813682092555336E-2</v>
      </c>
    </row>
    <row r="35" spans="3:19" s="155" customFormat="1" x14ac:dyDescent="0.3">
      <c r="C35" s="156"/>
      <c r="D35" s="158" t="s">
        <v>93</v>
      </c>
      <c r="E35" s="139">
        <f t="shared" ref="E35:O35" si="5">E27/E$28</f>
        <v>5.1887210284951805E-3</v>
      </c>
      <c r="F35" s="139">
        <f t="shared" si="5"/>
        <v>6.3038811686270523E-4</v>
      </c>
      <c r="G35" s="139">
        <f t="shared" si="5"/>
        <v>1.1386479866333883E-2</v>
      </c>
      <c r="H35" s="139">
        <f t="shared" si="5"/>
        <v>2.9820067796610169E-2</v>
      </c>
      <c r="I35" s="139">
        <f t="shared" si="5"/>
        <v>5.1499757631019244E-2</v>
      </c>
      <c r="J35" s="139">
        <f t="shared" si="5"/>
        <v>1.4202344111808601E-2</v>
      </c>
      <c r="K35" s="139">
        <f t="shared" si="5"/>
        <v>4.1773656591236686E-3</v>
      </c>
      <c r="L35" s="139">
        <f t="shared" si="5"/>
        <v>4.4565524271930161E-3</v>
      </c>
      <c r="M35" s="139">
        <f t="shared" si="5"/>
        <v>1.8586981363077779E-4</v>
      </c>
      <c r="N35" s="139">
        <f t="shared" si="5"/>
        <v>1.4138895298997185E-3</v>
      </c>
      <c r="O35" s="139">
        <f t="shared" si="5"/>
        <v>4.0643863179074452E-5</v>
      </c>
    </row>
    <row r="37" spans="3:19" x14ac:dyDescent="0.3">
      <c r="C37" s="16" t="s">
        <v>95</v>
      </c>
      <c r="E37" s="85"/>
      <c r="F37" s="85"/>
      <c r="G37" s="85"/>
      <c r="H37" s="85"/>
      <c r="I37" s="85"/>
      <c r="J37" s="85"/>
      <c r="K37" s="85"/>
      <c r="L37" s="85"/>
      <c r="M37" s="85"/>
      <c r="N37" s="85"/>
      <c r="O37" s="85"/>
    </row>
    <row r="38" spans="3:19" x14ac:dyDescent="0.3">
      <c r="C38" s="16"/>
      <c r="D38" s="19" t="s">
        <v>96</v>
      </c>
      <c r="E38" s="86" t="s">
        <v>74</v>
      </c>
      <c r="F38" s="86" t="s">
        <v>75</v>
      </c>
      <c r="G38" s="86" t="s">
        <v>76</v>
      </c>
      <c r="H38" s="86" t="s">
        <v>77</v>
      </c>
      <c r="I38" s="86" t="s">
        <v>78</v>
      </c>
      <c r="J38" s="86" t="s">
        <v>11</v>
      </c>
      <c r="K38" s="86" t="s">
        <v>79</v>
      </c>
      <c r="L38" s="86" t="s">
        <v>80</v>
      </c>
      <c r="M38" s="86" t="s">
        <v>81</v>
      </c>
      <c r="N38" s="86" t="s">
        <v>82</v>
      </c>
      <c r="O38" s="86" t="s">
        <v>88</v>
      </c>
      <c r="P38" s="11"/>
      <c r="Q38" s="11"/>
      <c r="R38" s="11"/>
      <c r="S38" s="11"/>
    </row>
    <row r="39" spans="3:19" s="155" customFormat="1" x14ac:dyDescent="0.3">
      <c r="C39" s="156"/>
      <c r="D39" s="155" t="s">
        <v>17</v>
      </c>
      <c r="E39" s="84">
        <v>41.959999999999901</v>
      </c>
      <c r="F39" s="84">
        <v>8.3840000000000003</v>
      </c>
      <c r="G39" s="84">
        <v>12.316000000000001</v>
      </c>
      <c r="H39" s="84">
        <v>6.17</v>
      </c>
      <c r="I39" s="84">
        <v>226.255</v>
      </c>
      <c r="J39" s="84">
        <v>158.886</v>
      </c>
      <c r="K39" s="84">
        <v>35.088999999999999</v>
      </c>
      <c r="L39" s="84">
        <v>160.15600000000001</v>
      </c>
      <c r="M39" s="84">
        <v>41.808999999999997</v>
      </c>
      <c r="N39" s="84">
        <v>31.645</v>
      </c>
      <c r="O39" s="84">
        <v>19.764000000000003</v>
      </c>
      <c r="P39" s="160"/>
      <c r="Q39" s="128"/>
      <c r="R39" s="49"/>
      <c r="S39" s="49"/>
    </row>
    <row r="40" spans="3:19" s="155" customFormat="1" x14ac:dyDescent="0.3">
      <c r="C40" s="156"/>
      <c r="D40" s="155" t="s">
        <v>97</v>
      </c>
      <c r="E40" s="84">
        <v>637.024</v>
      </c>
      <c r="F40" s="84">
        <v>1123.1190000000001</v>
      </c>
      <c r="G40" s="84">
        <v>300.75200000000001</v>
      </c>
      <c r="H40" s="84">
        <v>191.51</v>
      </c>
      <c r="I40" s="84">
        <v>2532.9650000000001</v>
      </c>
      <c r="J40" s="84">
        <v>61.772999999999996</v>
      </c>
      <c r="K40" s="84">
        <v>10.433999999999999</v>
      </c>
      <c r="L40" s="84">
        <v>5.84</v>
      </c>
      <c r="M40" s="84">
        <v>3.8650000000000002</v>
      </c>
      <c r="N40" s="84">
        <v>0.86599999999999899</v>
      </c>
      <c r="O40" s="84">
        <v>5.8159999999999998</v>
      </c>
      <c r="P40" s="49"/>
      <c r="Q40" s="49"/>
      <c r="R40" s="49"/>
      <c r="S40" s="49"/>
    </row>
    <row r="41" spans="3:19" s="155" customFormat="1" x14ac:dyDescent="0.3">
      <c r="C41" s="156"/>
      <c r="D41" s="155" t="s">
        <v>98</v>
      </c>
      <c r="E41" s="84">
        <v>408.87799999999999</v>
      </c>
      <c r="F41" s="84">
        <v>83.8</v>
      </c>
      <c r="G41" s="84">
        <v>34.640999999999998</v>
      </c>
      <c r="H41" s="84">
        <v>157.80799999999903</v>
      </c>
      <c r="I41" s="84">
        <v>765.10599999999999</v>
      </c>
      <c r="J41" s="84">
        <v>1191.33</v>
      </c>
      <c r="K41" s="84">
        <v>141.922</v>
      </c>
      <c r="L41" s="84">
        <v>85.384999999999906</v>
      </c>
      <c r="M41" s="84">
        <v>127.02800000000001</v>
      </c>
      <c r="N41" s="84">
        <v>3.5870000000000002</v>
      </c>
      <c r="O41" s="84">
        <v>0.79</v>
      </c>
    </row>
    <row r="42" spans="3:19" s="155" customFormat="1" x14ac:dyDescent="0.3">
      <c r="C42" s="156"/>
      <c r="D42" s="155" t="s">
        <v>99</v>
      </c>
      <c r="E42" s="84">
        <v>27.746000000000002</v>
      </c>
      <c r="F42" s="84">
        <v>14.802999999999999</v>
      </c>
      <c r="G42" s="84">
        <v>12.015000000000001</v>
      </c>
      <c r="H42" s="84">
        <v>7.7420000000000009</v>
      </c>
      <c r="I42" s="84">
        <v>58.736000000000004</v>
      </c>
      <c r="J42" s="84">
        <v>18.613</v>
      </c>
      <c r="K42" s="84">
        <v>29.2959999999999</v>
      </c>
      <c r="L42" s="84">
        <v>8.2639999999999993</v>
      </c>
      <c r="M42" s="84">
        <v>10.218999999999991</v>
      </c>
      <c r="N42" s="84">
        <v>2.0449999999999999</v>
      </c>
      <c r="O42" s="84">
        <v>4.3429999999999902</v>
      </c>
    </row>
    <row r="43" spans="3:19" s="155" customFormat="1" x14ac:dyDescent="0.3">
      <c r="C43" s="156"/>
      <c r="D43" s="155" t="s">
        <v>100</v>
      </c>
      <c r="E43" s="84">
        <v>138.09799999999998</v>
      </c>
      <c r="F43" s="84">
        <v>10.385999999999999</v>
      </c>
      <c r="G43" s="84">
        <v>9.6269999999999989</v>
      </c>
      <c r="H43" s="84">
        <v>21.675000000000004</v>
      </c>
      <c r="I43" s="84">
        <v>269.40900000000005</v>
      </c>
      <c r="J43" s="84">
        <v>611.06099999999992</v>
      </c>
      <c r="K43" s="84">
        <v>46.993000000000002</v>
      </c>
      <c r="L43" s="84">
        <v>60.741</v>
      </c>
      <c r="M43" s="84">
        <v>27.864000000000001</v>
      </c>
      <c r="N43" s="84">
        <v>10.770999999999999</v>
      </c>
      <c r="O43" s="84">
        <v>0</v>
      </c>
    </row>
    <row r="44" spans="3:19" s="155" customFormat="1" x14ac:dyDescent="0.3">
      <c r="C44" s="156"/>
      <c r="D44" s="155" t="s">
        <v>20</v>
      </c>
      <c r="E44" s="157">
        <v>1253.7059999999999</v>
      </c>
      <c r="F44" s="157">
        <v>1240.4920000000002</v>
      </c>
      <c r="G44" s="157">
        <v>369.351</v>
      </c>
      <c r="H44" s="157">
        <v>384.90499999999906</v>
      </c>
      <c r="I44" s="157">
        <v>3852.471</v>
      </c>
      <c r="J44" s="157">
        <v>2041.663</v>
      </c>
      <c r="K44" s="157">
        <v>263.73399999999992</v>
      </c>
      <c r="L44" s="157">
        <v>320.38599999999991</v>
      </c>
      <c r="M44" s="157">
        <v>210.785</v>
      </c>
      <c r="N44" s="157">
        <v>48.914000000000001</v>
      </c>
      <c r="O44" s="157">
        <v>30.71299999999999</v>
      </c>
    </row>
    <row r="45" spans="3:19" x14ac:dyDescent="0.3">
      <c r="C45" s="16"/>
      <c r="D45" s="19"/>
      <c r="E45" s="86"/>
      <c r="F45" s="86"/>
      <c r="G45" s="86"/>
      <c r="H45" s="86"/>
      <c r="I45" s="86"/>
      <c r="J45" s="86"/>
      <c r="K45" s="86"/>
      <c r="L45" s="86"/>
      <c r="M45" s="86"/>
      <c r="N45" s="86"/>
      <c r="O45" s="86"/>
    </row>
    <row r="46" spans="3:19" x14ac:dyDescent="0.3">
      <c r="C46" s="16" t="s">
        <v>101</v>
      </c>
      <c r="D46" s="19" t="s">
        <v>102</v>
      </c>
      <c r="E46" s="136" t="s">
        <v>74</v>
      </c>
      <c r="F46" s="136" t="s">
        <v>75</v>
      </c>
      <c r="G46" s="136" t="s">
        <v>76</v>
      </c>
      <c r="H46" s="136" t="s">
        <v>77</v>
      </c>
      <c r="I46" s="136" t="s">
        <v>78</v>
      </c>
      <c r="J46" s="136" t="s">
        <v>11</v>
      </c>
      <c r="K46" s="136" t="s">
        <v>79</v>
      </c>
      <c r="L46" s="136" t="s">
        <v>80</v>
      </c>
      <c r="M46" s="136" t="s">
        <v>81</v>
      </c>
      <c r="N46" s="136" t="s">
        <v>82</v>
      </c>
      <c r="O46" s="137" t="s">
        <v>88</v>
      </c>
    </row>
    <row r="47" spans="3:19" s="155" customFormat="1" x14ac:dyDescent="0.3">
      <c r="C47" s="156"/>
      <c r="D47" s="155" t="s">
        <v>103</v>
      </c>
      <c r="E47" s="139">
        <f t="shared" ref="E47:O48" si="6">E39/SUM(E$39:E$40)</f>
        <v>6.1798216158259853E-2</v>
      </c>
      <c r="F47" s="139">
        <f t="shared" si="6"/>
        <v>7.409613584762921E-3</v>
      </c>
      <c r="G47" s="139">
        <f t="shared" si="6"/>
        <v>3.9339696168244606E-2</v>
      </c>
      <c r="H47" s="139">
        <f t="shared" si="6"/>
        <v>3.1212059894779445E-2</v>
      </c>
      <c r="I47" s="139">
        <f t="shared" si="6"/>
        <v>8.199962308188545E-2</v>
      </c>
      <c r="J47" s="139">
        <f t="shared" si="6"/>
        <v>0.72005220725191355</v>
      </c>
      <c r="K47" s="139">
        <f t="shared" si="6"/>
        <v>0.77079717944775172</v>
      </c>
      <c r="L47" s="139">
        <f t="shared" si="6"/>
        <v>0.9648184293597436</v>
      </c>
      <c r="M47" s="139">
        <f t="shared" si="6"/>
        <v>0.91537855234925769</v>
      </c>
      <c r="N47" s="139">
        <f t="shared" si="6"/>
        <v>0.97336286180062148</v>
      </c>
      <c r="O47" s="139">
        <f t="shared" si="6"/>
        <v>0.77263487099296335</v>
      </c>
      <c r="Q47" s="139"/>
    </row>
    <row r="48" spans="3:19" s="155" customFormat="1" x14ac:dyDescent="0.3">
      <c r="C48" s="156"/>
      <c r="D48" s="155" t="s">
        <v>104</v>
      </c>
      <c r="E48" s="139">
        <f t="shared" si="6"/>
        <v>0.93820178384174013</v>
      </c>
      <c r="F48" s="139">
        <f t="shared" si="6"/>
        <v>0.99259038641523711</v>
      </c>
      <c r="G48" s="139">
        <f t="shared" si="6"/>
        <v>0.96066030383175549</v>
      </c>
      <c r="H48" s="139">
        <f t="shared" si="6"/>
        <v>0.96878794010522062</v>
      </c>
      <c r="I48" s="139">
        <f t="shared" si="6"/>
        <v>0.91800037691811454</v>
      </c>
      <c r="J48" s="139">
        <f t="shared" si="6"/>
        <v>0.2799477927480864</v>
      </c>
      <c r="K48" s="139">
        <f t="shared" si="6"/>
        <v>0.2292028205522483</v>
      </c>
      <c r="L48" s="139">
        <f t="shared" si="6"/>
        <v>3.5181570640256392E-2</v>
      </c>
      <c r="M48" s="139">
        <f t="shared" si="6"/>
        <v>8.4621447650742226E-2</v>
      </c>
      <c r="N48" s="139">
        <f t="shared" si="6"/>
        <v>2.6637138199378643E-2</v>
      </c>
      <c r="O48" s="139">
        <f t="shared" si="6"/>
        <v>0.22736512900703673</v>
      </c>
    </row>
    <row r="49" spans="1:17" x14ac:dyDescent="0.3">
      <c r="C49" s="16"/>
      <c r="D49" s="19"/>
      <c r="E49" s="25"/>
      <c r="F49" s="25"/>
      <c r="G49" s="25"/>
      <c r="H49" s="25"/>
      <c r="I49" s="25"/>
      <c r="J49" s="25"/>
      <c r="K49" s="25"/>
      <c r="L49" s="25"/>
      <c r="M49" s="25"/>
      <c r="N49" s="25"/>
      <c r="O49" s="25"/>
    </row>
    <row r="50" spans="1:17" x14ac:dyDescent="0.3">
      <c r="A50" s="9"/>
      <c r="B50" s="9" t="s">
        <v>105</v>
      </c>
      <c r="C50" s="9"/>
      <c r="D50" s="9"/>
      <c r="E50" s="9"/>
      <c r="F50" s="9"/>
      <c r="G50" s="9"/>
      <c r="H50" s="9"/>
      <c r="I50" s="9"/>
      <c r="J50" s="9"/>
      <c r="K50" s="9"/>
      <c r="L50" s="9"/>
      <c r="M50" s="9"/>
      <c r="N50" s="9"/>
      <c r="O50" s="9"/>
      <c r="P50" s="9"/>
      <c r="Q50" s="9"/>
    </row>
    <row r="52" spans="1:17" x14ac:dyDescent="0.3">
      <c r="C52" s="16" t="s">
        <v>106</v>
      </c>
    </row>
    <row r="53" spans="1:17" x14ac:dyDescent="0.3">
      <c r="D53" s="27" t="s">
        <v>107</v>
      </c>
      <c r="E53" s="27" t="s">
        <v>108</v>
      </c>
      <c r="G53" t="s">
        <v>109</v>
      </c>
      <c r="H53" s="25">
        <v>277.77800000000002</v>
      </c>
      <c r="I53" t="s">
        <v>110</v>
      </c>
    </row>
    <row r="54" spans="1:17" x14ac:dyDescent="0.3">
      <c r="D54" s="158" t="s">
        <v>75</v>
      </c>
      <c r="E54" s="30">
        <v>1276</v>
      </c>
    </row>
    <row r="55" spans="1:17" x14ac:dyDescent="0.3">
      <c r="D55" s="159" t="s">
        <v>76</v>
      </c>
      <c r="E55" s="31">
        <v>1330</v>
      </c>
    </row>
    <row r="56" spans="1:17" x14ac:dyDescent="0.3">
      <c r="D56" s="158" t="s">
        <v>111</v>
      </c>
      <c r="E56" s="30">
        <v>1092</v>
      </c>
    </row>
    <row r="57" spans="1:17" x14ac:dyDescent="0.3">
      <c r="D57" s="159" t="s">
        <v>80</v>
      </c>
      <c r="E57" s="31">
        <v>1090</v>
      </c>
    </row>
    <row r="58" spans="1:17" x14ac:dyDescent="0.3">
      <c r="D58" s="158" t="s">
        <v>79</v>
      </c>
      <c r="E58" s="30">
        <v>1142</v>
      </c>
    </row>
    <row r="59" spans="1:17" x14ac:dyDescent="0.3">
      <c r="D59" s="159" t="s">
        <v>112</v>
      </c>
      <c r="E59" s="31">
        <v>1064</v>
      </c>
    </row>
    <row r="60" spans="1:17" x14ac:dyDescent="0.3">
      <c r="D60" s="158" t="s">
        <v>113</v>
      </c>
      <c r="E60" s="30">
        <v>965</v>
      </c>
    </row>
    <row r="61" spans="1:17" x14ac:dyDescent="0.3">
      <c r="D61" s="159" t="s">
        <v>78</v>
      </c>
      <c r="E61" s="31">
        <v>1166</v>
      </c>
    </row>
    <row r="62" spans="1:17" x14ac:dyDescent="0.3">
      <c r="D62" s="158" t="s">
        <v>81</v>
      </c>
      <c r="E62" s="30">
        <v>949</v>
      </c>
    </row>
    <row r="63" spans="1:17" x14ac:dyDescent="0.3">
      <c r="D63" s="159" t="s">
        <v>82</v>
      </c>
      <c r="E63" s="31">
        <v>1104</v>
      </c>
    </row>
    <row r="64" spans="1:17" x14ac:dyDescent="0.3">
      <c r="D64" s="158" t="s">
        <v>74</v>
      </c>
      <c r="E64" s="30">
        <v>1004</v>
      </c>
    </row>
    <row r="65" spans="3:6" x14ac:dyDescent="0.3">
      <c r="D65" s="159" t="s">
        <v>77</v>
      </c>
      <c r="E65" s="31">
        <v>1272</v>
      </c>
    </row>
    <row r="66" spans="3:6" x14ac:dyDescent="0.3">
      <c r="D66" s="161" t="s">
        <v>11</v>
      </c>
      <c r="E66" s="32">
        <v>1183</v>
      </c>
    </row>
    <row r="67" spans="3:6" s="11" customFormat="1" x14ac:dyDescent="0.3">
      <c r="D67" s="50"/>
      <c r="E67" s="51"/>
    </row>
    <row r="68" spans="3:6" x14ac:dyDescent="0.3">
      <c r="C68" s="16" t="s">
        <v>114</v>
      </c>
      <c r="D68" s="40"/>
      <c r="E68" s="40"/>
    </row>
    <row r="69" spans="3:6" ht="28.5" customHeight="1" x14ac:dyDescent="0.3">
      <c r="D69" s="68" t="s">
        <v>23</v>
      </c>
      <c r="E69" s="68" t="s">
        <v>115</v>
      </c>
    </row>
    <row r="70" spans="3:6" x14ac:dyDescent="0.3">
      <c r="D70" s="69" t="s">
        <v>30</v>
      </c>
      <c r="E70" s="70"/>
    </row>
    <row r="71" spans="3:6" x14ac:dyDescent="0.3">
      <c r="D71" t="s">
        <v>116</v>
      </c>
      <c r="E71" s="26">
        <v>0.3</v>
      </c>
    </row>
    <row r="72" spans="3:6" x14ac:dyDescent="0.3">
      <c r="D72" t="s">
        <v>89</v>
      </c>
      <c r="E72" s="26">
        <v>0.2</v>
      </c>
      <c r="F72" s="128"/>
    </row>
    <row r="73" spans="3:6" x14ac:dyDescent="0.3">
      <c r="D73" t="s">
        <v>93</v>
      </c>
      <c r="E73" s="26">
        <v>0.15</v>
      </c>
      <c r="F73" s="128"/>
    </row>
    <row r="74" spans="3:6" x14ac:dyDescent="0.3">
      <c r="D74" t="s">
        <v>92</v>
      </c>
      <c r="E74" s="26">
        <v>0.5</v>
      </c>
    </row>
    <row r="75" spans="3:6" x14ac:dyDescent="0.3">
      <c r="D75" t="s">
        <v>90</v>
      </c>
      <c r="E75" s="26">
        <v>0.1</v>
      </c>
    </row>
    <row r="76" spans="3:6" x14ac:dyDescent="0.3">
      <c r="D76" s="69" t="s">
        <v>33</v>
      </c>
      <c r="E76" s="71"/>
    </row>
    <row r="77" spans="3:6" x14ac:dyDescent="0.3">
      <c r="D77" t="s">
        <v>35</v>
      </c>
      <c r="E77" s="26">
        <v>0.4</v>
      </c>
    </row>
    <row r="80" spans="3:6" x14ac:dyDescent="0.3">
      <c r="C80" s="16" t="s">
        <v>117</v>
      </c>
    </row>
    <row r="81" spans="4:8" ht="28.8" x14ac:dyDescent="0.3">
      <c r="D81" s="51" t="s">
        <v>23</v>
      </c>
      <c r="E81" s="68" t="s">
        <v>118</v>
      </c>
      <c r="F81" s="68" t="s">
        <v>119</v>
      </c>
    </row>
    <row r="82" spans="4:8" x14ac:dyDescent="0.3">
      <c r="D82" t="s">
        <v>120</v>
      </c>
      <c r="E82" s="72">
        <v>0.95</v>
      </c>
      <c r="F82" s="72">
        <v>2.5</v>
      </c>
    </row>
    <row r="83" spans="4:8" x14ac:dyDescent="0.3">
      <c r="D83" t="s">
        <v>121</v>
      </c>
      <c r="E83" s="72">
        <v>0.78</v>
      </c>
      <c r="F83" s="72">
        <v>2.5</v>
      </c>
      <c r="H83" s="127"/>
    </row>
    <row r="85" spans="4:8" x14ac:dyDescent="0.3">
      <c r="D85" s="155" t="s">
        <v>122</v>
      </c>
      <c r="F85" s="127">
        <v>0.5</v>
      </c>
    </row>
  </sheetData>
  <sheetProtection algorithmName="SHA-512" hashValue="tJp67FlPwJMy0hGmWsIubMp01XHQzwZ2tZeRW9hw7rYsMictGuRAqy44wsUfYkPEgMagjscG/9Ksrod2Le7PBQ==" saltValue="vYIgvn50ctkkKvU7bY2+sQ==" spinCount="100000" sheet="1" objects="1" scenarios="1"/>
  <pageMargins left="0.7" right="0.7" top="0.75" bottom="0.75" header="0.3" footer="0.3"/>
  <pageSetup paperSize="9" orientation="portrait"/>
  <legacyDrawing r:id="rId1"/>
  <tableParts count="9">
    <tablePart r:id="rId2"/>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49"/>
  <sheetViews>
    <sheetView zoomScaleNormal="100" workbookViewId="0">
      <selection sqref="A1:C1"/>
    </sheetView>
  </sheetViews>
  <sheetFormatPr defaultColWidth="9.33203125" defaultRowHeight="14.4" x14ac:dyDescent="0.3"/>
  <cols>
    <col min="1" max="1" width="15.6640625" style="289" customWidth="1"/>
    <col min="2" max="2" width="39" style="289" customWidth="1"/>
    <col min="3" max="3" width="40.6640625" style="289" customWidth="1"/>
    <col min="4" max="16384" width="9.33203125" style="289"/>
  </cols>
  <sheetData>
    <row r="1" spans="1:11" ht="51.75" customHeight="1" thickTop="1" thickBot="1" x14ac:dyDescent="0.35">
      <c r="A1" s="631" t="s">
        <v>258</v>
      </c>
      <c r="B1" s="632"/>
      <c r="C1" s="633"/>
      <c r="K1" s="289" t="s">
        <v>259</v>
      </c>
    </row>
    <row r="2" spans="1:11" s="332" customFormat="1" ht="30.75" customHeight="1" x14ac:dyDescent="0.3">
      <c r="A2" s="634" t="s">
        <v>255</v>
      </c>
      <c r="B2" s="635"/>
      <c r="C2" s="636"/>
      <c r="E2" s="289"/>
    </row>
    <row r="3" spans="1:11" s="332" customFormat="1" x14ac:dyDescent="0.3">
      <c r="A3" s="637" t="s">
        <v>254</v>
      </c>
      <c r="B3" s="638"/>
      <c r="C3" s="639"/>
    </row>
    <row r="4" spans="1:11" s="331" customFormat="1" ht="29.25" customHeight="1" x14ac:dyDescent="0.3">
      <c r="A4" s="613" t="s">
        <v>253</v>
      </c>
      <c r="B4" s="614"/>
      <c r="C4" s="615"/>
    </row>
    <row r="5" spans="1:11" s="331" customFormat="1" x14ac:dyDescent="0.3">
      <c r="A5" s="613" t="s">
        <v>252</v>
      </c>
      <c r="B5" s="614"/>
      <c r="C5" s="615"/>
    </row>
    <row r="6" spans="1:11" s="331" customFormat="1" ht="45.75" customHeight="1" x14ac:dyDescent="0.3">
      <c r="A6" s="613" t="s">
        <v>251</v>
      </c>
      <c r="B6" s="614"/>
      <c r="C6" s="615"/>
    </row>
    <row r="7" spans="1:11" s="331" customFormat="1" x14ac:dyDescent="0.3">
      <c r="A7" s="613" t="s">
        <v>250</v>
      </c>
      <c r="B7" s="614"/>
      <c r="C7" s="615"/>
    </row>
    <row r="8" spans="1:11" s="331" customFormat="1" ht="30.75" customHeight="1" thickBot="1" x14ac:dyDescent="0.35">
      <c r="A8" s="616" t="s">
        <v>249</v>
      </c>
      <c r="B8" s="617"/>
      <c r="C8" s="618"/>
    </row>
    <row r="9" spans="1:11" s="327" customFormat="1" ht="16.2" thickBot="1" x14ac:dyDescent="0.35">
      <c r="A9" s="330" t="s">
        <v>248</v>
      </c>
      <c r="B9" s="329" t="s">
        <v>247</v>
      </c>
      <c r="C9" s="328" t="s">
        <v>246</v>
      </c>
    </row>
    <row r="10" spans="1:11" ht="15" thickBot="1" x14ac:dyDescent="0.35">
      <c r="A10" s="619" t="s">
        <v>245</v>
      </c>
      <c r="B10" s="620"/>
      <c r="C10" s="621"/>
    </row>
    <row r="11" spans="1:11" ht="38.4" thickBot="1" x14ac:dyDescent="0.35">
      <c r="A11" s="321" t="s">
        <v>276</v>
      </c>
      <c r="B11" s="320" t="s">
        <v>244</v>
      </c>
      <c r="C11" s="319" t="s">
        <v>243</v>
      </c>
    </row>
    <row r="12" spans="1:11" ht="15" thickBot="1" x14ac:dyDescent="0.35">
      <c r="A12" s="622" t="s">
        <v>242</v>
      </c>
      <c r="B12" s="623"/>
      <c r="C12" s="624"/>
    </row>
    <row r="13" spans="1:11" ht="25.2" x14ac:dyDescent="0.3">
      <c r="A13" s="607" t="s">
        <v>241</v>
      </c>
      <c r="B13" s="305" t="s">
        <v>367</v>
      </c>
      <c r="C13" s="625" t="s">
        <v>240</v>
      </c>
    </row>
    <row r="14" spans="1:11" ht="25.2" x14ac:dyDescent="0.3">
      <c r="A14" s="608"/>
      <c r="B14" s="316" t="s">
        <v>239</v>
      </c>
      <c r="C14" s="626"/>
    </row>
    <row r="15" spans="1:11" x14ac:dyDescent="0.3">
      <c r="A15" s="608"/>
      <c r="B15" s="316" t="s">
        <v>238</v>
      </c>
      <c r="C15" s="626"/>
    </row>
    <row r="16" spans="1:11" x14ac:dyDescent="0.3">
      <c r="A16" s="608"/>
      <c r="B16" s="316" t="s">
        <v>237</v>
      </c>
      <c r="C16" s="626"/>
    </row>
    <row r="17" spans="1:3" ht="25.2" x14ac:dyDescent="0.3">
      <c r="A17" s="608"/>
      <c r="B17" s="316" t="s">
        <v>236</v>
      </c>
      <c r="C17" s="626"/>
    </row>
    <row r="18" spans="1:3" ht="15" thickBot="1" x14ac:dyDescent="0.35">
      <c r="A18" s="608"/>
      <c r="B18" s="316" t="s">
        <v>235</v>
      </c>
      <c r="C18" s="626"/>
    </row>
    <row r="19" spans="1:3" ht="54" customHeight="1" x14ac:dyDescent="0.3">
      <c r="A19" s="607" t="s">
        <v>234</v>
      </c>
      <c r="B19" s="326" t="s">
        <v>368</v>
      </c>
      <c r="C19" s="325" t="s">
        <v>371</v>
      </c>
    </row>
    <row r="20" spans="1:3" x14ac:dyDescent="0.3">
      <c r="A20" s="608"/>
      <c r="B20" s="316" t="s">
        <v>369</v>
      </c>
      <c r="C20" s="316" t="s">
        <v>372</v>
      </c>
    </row>
    <row r="21" spans="1:3" x14ac:dyDescent="0.3">
      <c r="A21" s="608"/>
      <c r="B21" s="316" t="s">
        <v>370</v>
      </c>
      <c r="C21" s="324"/>
    </row>
    <row r="22" spans="1:3" x14ac:dyDescent="0.3">
      <c r="A22" s="608"/>
      <c r="B22" s="316" t="s">
        <v>233</v>
      </c>
      <c r="C22" s="324"/>
    </row>
    <row r="23" spans="1:3" ht="15" thickBot="1" x14ac:dyDescent="0.35">
      <c r="A23" s="609"/>
      <c r="B23" s="323" t="s">
        <v>232</v>
      </c>
      <c r="C23" s="322"/>
    </row>
    <row r="24" spans="1:3" ht="28.2" thickBot="1" x14ac:dyDescent="0.35">
      <c r="A24" s="321" t="s">
        <v>287</v>
      </c>
      <c r="B24" s="320" t="s">
        <v>373</v>
      </c>
      <c r="C24" s="319" t="s">
        <v>231</v>
      </c>
    </row>
    <row r="25" spans="1:3" ht="37.799999999999997" x14ac:dyDescent="0.3">
      <c r="A25" s="610" t="s">
        <v>288</v>
      </c>
      <c r="B25" s="318" t="s">
        <v>374</v>
      </c>
      <c r="C25" s="317" t="s">
        <v>230</v>
      </c>
    </row>
    <row r="26" spans="1:3" x14ac:dyDescent="0.3">
      <c r="A26" s="611"/>
      <c r="B26" s="315" t="s">
        <v>268</v>
      </c>
      <c r="C26" s="313" t="s">
        <v>229</v>
      </c>
    </row>
    <row r="27" spans="1:3" x14ac:dyDescent="0.3">
      <c r="A27" s="611"/>
      <c r="B27" s="315" t="s">
        <v>228</v>
      </c>
      <c r="C27" s="313" t="s">
        <v>227</v>
      </c>
    </row>
    <row r="28" spans="1:3" x14ac:dyDescent="0.3">
      <c r="A28" s="611"/>
      <c r="B28" s="314"/>
      <c r="C28" s="313" t="s">
        <v>226</v>
      </c>
    </row>
    <row r="29" spans="1:3" x14ac:dyDescent="0.3">
      <c r="A29" s="611"/>
      <c r="B29" s="314"/>
      <c r="C29" s="313" t="s">
        <v>225</v>
      </c>
    </row>
    <row r="30" spans="1:3" x14ac:dyDescent="0.3">
      <c r="A30" s="611"/>
      <c r="B30" s="314"/>
      <c r="C30" s="313" t="s">
        <v>224</v>
      </c>
    </row>
    <row r="31" spans="1:3" x14ac:dyDescent="0.3">
      <c r="A31" s="611"/>
      <c r="B31" s="314"/>
      <c r="C31" s="313" t="s">
        <v>375</v>
      </c>
    </row>
    <row r="32" spans="1:3" ht="15" thickBot="1" x14ac:dyDescent="0.35">
      <c r="A32" s="612"/>
      <c r="B32" s="312"/>
      <c r="C32" s="311"/>
    </row>
    <row r="33" spans="1:6" ht="51" thickBot="1" x14ac:dyDescent="0.35">
      <c r="A33" s="293" t="s">
        <v>289</v>
      </c>
      <c r="B33" s="310" t="s">
        <v>223</v>
      </c>
      <c r="C33" s="309" t="s">
        <v>222</v>
      </c>
    </row>
    <row r="34" spans="1:6" ht="63" x14ac:dyDescent="0.3">
      <c r="A34" s="308" t="s">
        <v>290</v>
      </c>
      <c r="B34" s="307" t="s">
        <v>383</v>
      </c>
      <c r="C34" s="306" t="s">
        <v>376</v>
      </c>
    </row>
    <row r="35" spans="1:6" ht="63" x14ac:dyDescent="0.3">
      <c r="A35" s="294"/>
      <c r="B35" s="305" t="s">
        <v>384</v>
      </c>
      <c r="C35" s="301" t="s">
        <v>377</v>
      </c>
    </row>
    <row r="36" spans="1:6" ht="37.799999999999997" x14ac:dyDescent="0.3">
      <c r="A36" s="294"/>
      <c r="B36" s="305" t="s">
        <v>385</v>
      </c>
      <c r="C36" s="301" t="s">
        <v>378</v>
      </c>
    </row>
    <row r="37" spans="1:6" ht="75.599999999999994" x14ac:dyDescent="0.3">
      <c r="A37" s="294"/>
      <c r="B37" s="304" t="s">
        <v>386</v>
      </c>
      <c r="C37" s="301" t="s">
        <v>379</v>
      </c>
    </row>
    <row r="38" spans="1:6" ht="113.4" x14ac:dyDescent="0.3">
      <c r="A38" s="303"/>
      <c r="B38" s="304" t="s">
        <v>387</v>
      </c>
      <c r="C38" s="301" t="s">
        <v>380</v>
      </c>
    </row>
    <row r="39" spans="1:6" x14ac:dyDescent="0.3">
      <c r="A39" s="303"/>
      <c r="B39" s="304"/>
      <c r="C39" s="301" t="s">
        <v>381</v>
      </c>
    </row>
    <row r="40" spans="1:6" ht="64.5" customHeight="1" thickBot="1" x14ac:dyDescent="0.35">
      <c r="A40" s="303"/>
      <c r="B40" s="302" t="s">
        <v>388</v>
      </c>
      <c r="C40" s="301" t="s">
        <v>382</v>
      </c>
    </row>
    <row r="41" spans="1:6" ht="42" thickBot="1" x14ac:dyDescent="0.35">
      <c r="A41" s="300" t="s">
        <v>389</v>
      </c>
      <c r="B41" s="299" t="s">
        <v>390</v>
      </c>
      <c r="C41" s="298" t="s">
        <v>391</v>
      </c>
    </row>
    <row r="42" spans="1:6" ht="43.5" customHeight="1" thickBot="1" x14ac:dyDescent="0.35">
      <c r="A42" s="293" t="s">
        <v>291</v>
      </c>
      <c r="B42" s="292" t="s">
        <v>392</v>
      </c>
      <c r="C42" s="297" t="s">
        <v>221</v>
      </c>
    </row>
    <row r="43" spans="1:6" ht="58.5" customHeight="1" thickBot="1" x14ac:dyDescent="0.35">
      <c r="A43" s="629" t="s">
        <v>292</v>
      </c>
      <c r="B43" s="630" t="s">
        <v>393</v>
      </c>
      <c r="C43" s="426" t="s">
        <v>394</v>
      </c>
    </row>
    <row r="44" spans="1:6" ht="49.5" customHeight="1" thickBot="1" x14ac:dyDescent="0.35">
      <c r="A44" s="629"/>
      <c r="B44" s="630"/>
      <c r="C44" s="333" t="s">
        <v>395</v>
      </c>
      <c r="F44" s="427"/>
    </row>
    <row r="45" spans="1:6" ht="39" customHeight="1" thickBot="1" x14ac:dyDescent="0.35">
      <c r="A45" s="629" t="s">
        <v>293</v>
      </c>
      <c r="B45" s="630" t="s">
        <v>220</v>
      </c>
      <c r="C45" s="295" t="s">
        <v>219</v>
      </c>
      <c r="F45" s="428"/>
    </row>
    <row r="46" spans="1:6" ht="28.5" customHeight="1" thickBot="1" x14ac:dyDescent="0.35">
      <c r="A46" s="629" t="s">
        <v>218</v>
      </c>
      <c r="B46" s="630" t="s">
        <v>56</v>
      </c>
      <c r="C46" s="333"/>
    </row>
    <row r="47" spans="1:6" ht="25.8" thickBot="1" x14ac:dyDescent="0.35">
      <c r="A47" s="293" t="s">
        <v>294</v>
      </c>
      <c r="B47" s="296" t="s">
        <v>56</v>
      </c>
      <c r="C47" s="295" t="s">
        <v>400</v>
      </c>
    </row>
    <row r="48" spans="1:6" ht="27" customHeight="1" x14ac:dyDescent="0.3">
      <c r="A48" s="627" t="s">
        <v>299</v>
      </c>
      <c r="B48" s="429" t="s">
        <v>401</v>
      </c>
      <c r="C48" s="430"/>
    </row>
    <row r="49" spans="1:5" ht="52.5" customHeight="1" thickBot="1" x14ac:dyDescent="0.35">
      <c r="A49" s="628"/>
      <c r="B49" s="431" t="s">
        <v>402</v>
      </c>
      <c r="C49" s="432"/>
      <c r="E49" s="289" t="s">
        <v>217</v>
      </c>
    </row>
  </sheetData>
  <mergeCells count="19">
    <mergeCell ref="A1:C1"/>
    <mergeCell ref="A2:C2"/>
    <mergeCell ref="A3:C3"/>
    <mergeCell ref="A4:C4"/>
    <mergeCell ref="A5:C5"/>
    <mergeCell ref="A48:A49"/>
    <mergeCell ref="A43:A44"/>
    <mergeCell ref="B43:B44"/>
    <mergeCell ref="A45:A46"/>
    <mergeCell ref="B45:B46"/>
    <mergeCell ref="A19:A23"/>
    <mergeCell ref="A25:A32"/>
    <mergeCell ref="A6:C6"/>
    <mergeCell ref="A7:C7"/>
    <mergeCell ref="A8:C8"/>
    <mergeCell ref="A10:C10"/>
    <mergeCell ref="A12:C12"/>
    <mergeCell ref="A13:A18"/>
    <mergeCell ref="C13:C18"/>
  </mergeCells>
  <pageMargins left="0.25" right="0.25" top="0.75" bottom="0.75" header="0.3" footer="0.3"/>
  <pageSetup orientation="portrait"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00B050"/>
  </sheetPr>
  <dimension ref="A1:J63"/>
  <sheetViews>
    <sheetView zoomScale="130" zoomScaleNormal="130" workbookViewId="0"/>
  </sheetViews>
  <sheetFormatPr defaultRowHeight="14.4" x14ac:dyDescent="0.3"/>
  <cols>
    <col min="1" max="1" width="2.6640625" customWidth="1"/>
    <col min="2" max="2" width="2.33203125" customWidth="1"/>
    <col min="3" max="3" width="21.5546875" customWidth="1"/>
    <col min="4" max="10" width="19.5546875" customWidth="1"/>
  </cols>
  <sheetData>
    <row r="1" spans="1:10" x14ac:dyDescent="0.3">
      <c r="A1" s="87" t="s">
        <v>260</v>
      </c>
      <c r="B1" s="7"/>
      <c r="C1" s="7"/>
      <c r="D1" s="7"/>
      <c r="E1" s="7"/>
      <c r="F1" s="7"/>
      <c r="G1" s="7"/>
      <c r="H1" s="7"/>
      <c r="I1" s="7"/>
      <c r="J1" s="7"/>
    </row>
    <row r="2" spans="1:10" s="11" customFormat="1" x14ac:dyDescent="0.3">
      <c r="A2" s="8"/>
      <c r="B2" s="9" t="s">
        <v>1</v>
      </c>
      <c r="C2" s="9"/>
      <c r="D2" s="8"/>
      <c r="E2" s="8"/>
      <c r="F2" s="8"/>
      <c r="G2" s="8"/>
      <c r="H2" s="8"/>
      <c r="I2" s="8"/>
      <c r="J2" s="8"/>
    </row>
    <row r="3" spans="1:10" s="11" customFormat="1" x14ac:dyDescent="0.3">
      <c r="C3" s="12" t="s">
        <v>2</v>
      </c>
    </row>
    <row r="4" spans="1:10" s="11" customFormat="1" ht="65.099999999999994" customHeight="1" x14ac:dyDescent="0.3">
      <c r="C4" s="650" t="s">
        <v>277</v>
      </c>
      <c r="D4" s="650"/>
      <c r="E4" s="650"/>
      <c r="F4" s="650"/>
      <c r="G4" s="650"/>
      <c r="H4" s="650"/>
      <c r="I4" s="650"/>
    </row>
    <row r="5" spans="1:10" s="11" customFormat="1" x14ac:dyDescent="0.3">
      <c r="C5" s="651" t="s">
        <v>3</v>
      </c>
      <c r="D5" s="651"/>
      <c r="E5" s="651"/>
      <c r="F5" s="651"/>
      <c r="G5" s="651"/>
      <c r="H5" s="651"/>
      <c r="I5" s="651"/>
    </row>
    <row r="6" spans="1:10" s="11" customFormat="1" ht="58.2" customHeight="1" x14ac:dyDescent="0.3">
      <c r="C6" s="650" t="s">
        <v>396</v>
      </c>
      <c r="D6" s="650"/>
      <c r="E6" s="650"/>
      <c r="F6" s="650"/>
      <c r="G6" s="650"/>
      <c r="H6" s="650"/>
      <c r="I6" s="650"/>
    </row>
    <row r="7" spans="1:10" s="11" customFormat="1" x14ac:dyDescent="0.3">
      <c r="C7" s="88"/>
      <c r="D7" s="37"/>
      <c r="E7" s="37"/>
      <c r="F7" s="37"/>
      <c r="G7" s="37"/>
      <c r="H7" s="37"/>
      <c r="I7" s="15"/>
    </row>
    <row r="8" spans="1:10" s="11" customFormat="1" ht="28.8" x14ac:dyDescent="0.3">
      <c r="C8" s="45" t="s">
        <v>5</v>
      </c>
      <c r="D8" s="47" t="s">
        <v>6</v>
      </c>
      <c r="E8" s="48" t="s">
        <v>7</v>
      </c>
      <c r="F8" s="46"/>
      <c r="G8" s="37"/>
      <c r="H8" s="37"/>
      <c r="I8" s="15"/>
    </row>
    <row r="9" spans="1:10" s="11" customFormat="1" x14ac:dyDescent="0.3">
      <c r="C9" s="15"/>
      <c r="D9" s="15"/>
      <c r="E9" s="15"/>
      <c r="F9" s="15"/>
      <c r="G9" s="15"/>
      <c r="H9" s="15"/>
      <c r="I9" s="15"/>
    </row>
    <row r="10" spans="1:10" x14ac:dyDescent="0.3">
      <c r="A10" s="9"/>
      <c r="B10" s="9" t="s">
        <v>8</v>
      </c>
      <c r="C10" s="9"/>
      <c r="D10" s="8"/>
      <c r="E10" s="8"/>
      <c r="F10" s="8"/>
      <c r="G10" s="8"/>
      <c r="H10" s="8"/>
      <c r="I10" s="8"/>
      <c r="J10" s="8"/>
    </row>
    <row r="11" spans="1:10" s="11" customFormat="1" x14ac:dyDescent="0.3">
      <c r="C11" s="12"/>
    </row>
    <row r="12" spans="1:10" x14ac:dyDescent="0.3">
      <c r="C12" s="148" t="s">
        <v>9</v>
      </c>
      <c r="D12" s="149"/>
      <c r="E12" s="148"/>
      <c r="F12" s="150" t="s">
        <v>10</v>
      </c>
      <c r="G12" s="6" t="s">
        <v>78</v>
      </c>
    </row>
    <row r="14" spans="1:10" s="23" customFormat="1" ht="28.8" x14ac:dyDescent="0.3">
      <c r="D14" s="24" t="s">
        <v>12</v>
      </c>
      <c r="E14" s="24" t="s">
        <v>13</v>
      </c>
      <c r="F14" s="24" t="s">
        <v>14</v>
      </c>
      <c r="I14" s="75"/>
    </row>
    <row r="15" spans="1:10" x14ac:dyDescent="0.3">
      <c r="C15" s="150" t="s">
        <v>15</v>
      </c>
      <c r="D15" s="20">
        <f>INDEX(GJ_of_energy[],MATCH($C15,GJ_of_energy[Energy source],0), MATCH(Jurisdiction, GJ_of_energy[#Headers],0))</f>
        <v>35.389316724075698</v>
      </c>
      <c r="E15" s="20">
        <f>INDEX(tCO2_per_hshld_by_source[],MATCH($C15,tCO2_per_hshld_by_source[Energy source],0), MATCH(Jurisdiction,tCO2_per_hshld_by_source[#Headers],0))</f>
        <v>0.19660731513375301</v>
      </c>
      <c r="F15" s="21">
        <f t="shared" ref="F15:F20" si="0">E15/D15</f>
        <v>5.5555555555555315E-3</v>
      </c>
    </row>
    <row r="16" spans="1:10" x14ac:dyDescent="0.3">
      <c r="C16" s="150" t="s">
        <v>16</v>
      </c>
      <c r="D16" s="20">
        <f>INDEX(GJ_of_energy[],MATCH($C16,GJ_of_energy[Energy source],0), MATCH(Jurisdiction, GJ_of_energy[#Headers],0))</f>
        <v>68.786921118139702</v>
      </c>
      <c r="E16" s="20">
        <f>INDEX(tCO2_per_hshld_by_source[],MATCH($C16,tCO2_per_hshld_by_source[Energy source],0), MATCH(Jurisdiction,tCO2_per_hshld_by_source[#Headers],0))</f>
        <v>3.3474451455819199</v>
      </c>
      <c r="F16" s="21">
        <f>IFERROR(E16/D16,0)</f>
        <v>4.866397697656466E-2</v>
      </c>
    </row>
    <row r="17" spans="1:10" x14ac:dyDescent="0.3">
      <c r="C17" s="150" t="s">
        <v>17</v>
      </c>
      <c r="D17" s="20">
        <f>INDEX(GJ_of_energy[],MATCH($C17,GJ_of_energy[Energy source],0), MATCH(Jurisdiction, GJ_of_energy[#Headers],0))</f>
        <v>2.87101392093903</v>
      </c>
      <c r="E17" s="20">
        <f>INDEX(tCO2_per_hshld_by_source[],MATCH($C17,tCO2_per_hshld_by_source[Energy source],0), MATCH(Jurisdiction,tCO2_per_hshld_by_source[#Headers],0))</f>
        <v>0.20358601105264901</v>
      </c>
      <c r="F17" s="21">
        <f t="shared" si="0"/>
        <v>7.0910840789675314E-2</v>
      </c>
    </row>
    <row r="18" spans="1:10" x14ac:dyDescent="0.3">
      <c r="C18" s="150" t="s">
        <v>18</v>
      </c>
      <c r="D18" s="20">
        <f>INDEX(GJ_of_energy[],MATCH($C18,GJ_of_energy[Energy source],0), MATCH(Jurisdiction, GJ_of_energy[#Headers],0))</f>
        <v>9.6157582018808707</v>
      </c>
      <c r="E18" s="20">
        <f>INDEX(tCO2_per_hshld_by_source[],MATCH($C18,tCO2_per_hshld_by_source[Energy source],0), MATCH(Jurisdiction,tCO2_per_hshld_by_source[#Headers],0))</f>
        <v>0.225799551975745</v>
      </c>
      <c r="F18" s="21">
        <f t="shared" si="0"/>
        <v>2.3482241050069037E-2</v>
      </c>
    </row>
    <row r="19" spans="1:10" x14ac:dyDescent="0.3">
      <c r="C19" s="150" t="s">
        <v>19</v>
      </c>
      <c r="D19" s="20">
        <f>INDEX(GJ_of_energy[],MATCH($C19,GJ_of_energy[Energy source],0), MATCH(Jurisdiction, GJ_of_energy[#Headers],0))</f>
        <v>2.4730354811328801</v>
      </c>
      <c r="E19" s="20">
        <f>INDEX(tCO2_per_hshld_by_source[],MATCH($C19,tCO2_per_hshld_by_source[Energy source],0), MATCH(Jurisdiction,tCO2_per_hshld_by_source[#Headers],0))</f>
        <v>0.151240892206817</v>
      </c>
      <c r="F19" s="21">
        <f t="shared" si="0"/>
        <v>6.1155973442619034E-2</v>
      </c>
    </row>
    <row r="20" spans="1:10" x14ac:dyDescent="0.3">
      <c r="C20" s="151" t="s">
        <v>20</v>
      </c>
      <c r="D20" s="22">
        <f>SUM(D15:D19)</f>
        <v>119.13604544616818</v>
      </c>
      <c r="E20" s="22">
        <f>SUM(E15:E19)</f>
        <v>4.1246789159508843</v>
      </c>
      <c r="F20" s="29">
        <f t="shared" si="0"/>
        <v>3.4621586611372185E-2</v>
      </c>
    </row>
    <row r="21" spans="1:10" x14ac:dyDescent="0.3">
      <c r="C21" s="1"/>
      <c r="D21" s="1"/>
      <c r="E21" s="1"/>
      <c r="F21" s="1"/>
      <c r="G21" s="1"/>
      <c r="H21" s="1"/>
      <c r="I21" s="1"/>
    </row>
    <row r="22" spans="1:10" x14ac:dyDescent="0.3">
      <c r="A22" s="8"/>
      <c r="B22" s="9" t="s">
        <v>21</v>
      </c>
      <c r="C22" s="9"/>
      <c r="D22" s="10"/>
      <c r="E22" s="10"/>
      <c r="F22" s="10"/>
      <c r="G22" s="10"/>
      <c r="H22" s="10"/>
      <c r="I22" s="10"/>
      <c r="J22" s="8"/>
    </row>
    <row r="23" spans="1:10" x14ac:dyDescent="0.3">
      <c r="C23" s="1"/>
      <c r="D23" s="1"/>
      <c r="E23" s="1"/>
      <c r="F23" s="1"/>
      <c r="G23" s="1"/>
      <c r="H23" s="1"/>
      <c r="I23" s="1"/>
      <c r="J23" s="1"/>
    </row>
    <row r="24" spans="1:10" ht="204.75" customHeight="1" x14ac:dyDescent="0.3">
      <c r="C24" s="649" t="s">
        <v>397</v>
      </c>
      <c r="D24" s="649"/>
      <c r="E24" s="649"/>
      <c r="F24" s="649"/>
      <c r="G24" s="649"/>
      <c r="H24" s="649"/>
      <c r="I24" s="649"/>
      <c r="J24" s="1"/>
    </row>
    <row r="25" spans="1:10" ht="59.7" customHeight="1" x14ac:dyDescent="0.3">
      <c r="C25" s="652" t="s">
        <v>261</v>
      </c>
      <c r="D25" s="652"/>
      <c r="E25" s="652"/>
      <c r="F25" s="652"/>
      <c r="G25" s="652"/>
      <c r="H25" s="652"/>
      <c r="I25" s="652"/>
      <c r="J25" s="1"/>
    </row>
    <row r="26" spans="1:10" ht="15" thickBot="1" x14ac:dyDescent="0.35">
      <c r="C26" s="39"/>
      <c r="D26" s="1"/>
      <c r="E26" s="1"/>
      <c r="F26" s="1"/>
      <c r="G26" s="1"/>
      <c r="H26" s="1"/>
      <c r="I26" s="1"/>
      <c r="J26" s="1"/>
    </row>
    <row r="27" spans="1:10" ht="15" thickBot="1" x14ac:dyDescent="0.35">
      <c r="C27" s="653" t="s">
        <v>22</v>
      </c>
      <c r="D27" s="654"/>
      <c r="E27" s="141">
        <v>160</v>
      </c>
      <c r="F27" s="1"/>
      <c r="G27" s="1"/>
      <c r="H27" s="1"/>
      <c r="I27" s="1"/>
      <c r="J27" s="1"/>
    </row>
    <row r="28" spans="1:10" ht="15" thickBot="1" x14ac:dyDescent="0.35">
      <c r="C28" s="1"/>
      <c r="D28" s="1"/>
      <c r="E28" s="1"/>
      <c r="F28" s="1"/>
      <c r="G28" s="1"/>
      <c r="H28" s="1"/>
      <c r="I28" s="1"/>
    </row>
    <row r="29" spans="1:10" ht="43.8" thickBot="1" x14ac:dyDescent="0.35">
      <c r="C29" s="3" t="s">
        <v>23</v>
      </c>
      <c r="D29" s="3" t="s">
        <v>24</v>
      </c>
      <c r="E29" s="3" t="s">
        <v>25</v>
      </c>
      <c r="F29" s="655" t="s">
        <v>26</v>
      </c>
      <c r="G29" s="655"/>
      <c r="H29" s="656"/>
    </row>
    <row r="30" spans="1:10" ht="15" thickBot="1" x14ac:dyDescent="0.35">
      <c r="C30" s="4" t="s">
        <v>27</v>
      </c>
      <c r="D30" s="4" t="s">
        <v>28</v>
      </c>
      <c r="E30" s="4" t="s">
        <v>29</v>
      </c>
      <c r="F30" s="657"/>
      <c r="G30" s="657"/>
      <c r="H30" s="658"/>
    </row>
    <row r="31" spans="1:10" x14ac:dyDescent="0.3">
      <c r="C31" s="55" t="s">
        <v>30</v>
      </c>
      <c r="D31" s="56"/>
      <c r="E31" s="56"/>
      <c r="F31" s="659"/>
      <c r="G31" s="659"/>
      <c r="H31" s="660"/>
    </row>
    <row r="32" spans="1:10" ht="33.75" customHeight="1" x14ac:dyDescent="0.3">
      <c r="C32" s="57" t="s">
        <v>31</v>
      </c>
      <c r="D32" s="13">
        <v>160</v>
      </c>
      <c r="E32" s="34">
        <f>Calculations!G8*Calculations!H8</f>
        <v>0.33388021016949149</v>
      </c>
      <c r="F32" s="640" t="s">
        <v>417</v>
      </c>
      <c r="G32" s="640"/>
      <c r="H32" s="641"/>
    </row>
    <row r="33" spans="1:10" x14ac:dyDescent="0.3">
      <c r="C33" s="58" t="s">
        <v>32</v>
      </c>
      <c r="D33" s="13">
        <v>0</v>
      </c>
      <c r="E33" s="34">
        <f>Calculations!G9*Calculations!H9</f>
        <v>0.15675630508474578</v>
      </c>
      <c r="F33" s="640"/>
      <c r="G33" s="640"/>
      <c r="H33" s="641"/>
    </row>
    <row r="34" spans="1:10" x14ac:dyDescent="0.3">
      <c r="C34" s="59" t="s">
        <v>33</v>
      </c>
      <c r="D34" s="17"/>
      <c r="E34" s="35"/>
      <c r="F34" s="642"/>
      <c r="G34" s="642"/>
      <c r="H34" s="643"/>
    </row>
    <row r="35" spans="1:10" ht="54.75" customHeight="1" x14ac:dyDescent="0.3">
      <c r="C35" s="60" t="s">
        <v>34</v>
      </c>
      <c r="D35" s="14">
        <v>20</v>
      </c>
      <c r="E35" s="36">
        <f>Calculations!G20*Calculations!H20</f>
        <v>0.192183495746132</v>
      </c>
      <c r="F35" s="640" t="s">
        <v>418</v>
      </c>
      <c r="G35" s="640"/>
      <c r="H35" s="641"/>
    </row>
    <row r="36" spans="1:10" x14ac:dyDescent="0.3">
      <c r="C36" s="60" t="s">
        <v>35</v>
      </c>
      <c r="D36" s="14">
        <v>0</v>
      </c>
      <c r="E36" s="36">
        <f>Calculations!G21*Calculations!H21</f>
        <v>7.6190597578692509E-2</v>
      </c>
      <c r="F36" s="640"/>
      <c r="G36" s="640"/>
      <c r="H36" s="641"/>
    </row>
    <row r="37" spans="1:10" x14ac:dyDescent="0.3">
      <c r="C37" s="59" t="s">
        <v>36</v>
      </c>
      <c r="D37" s="17"/>
      <c r="E37" s="35"/>
      <c r="F37" s="642"/>
      <c r="G37" s="642"/>
      <c r="H37" s="643"/>
    </row>
    <row r="38" spans="1:10" ht="35.25" customHeight="1" thickBot="1" x14ac:dyDescent="0.35">
      <c r="C38" s="61" t="s">
        <v>19</v>
      </c>
      <c r="D38" s="62">
        <v>160</v>
      </c>
      <c r="E38" s="63">
        <v>0.75</v>
      </c>
      <c r="F38" s="644" t="s">
        <v>426</v>
      </c>
      <c r="G38" s="644"/>
      <c r="H38" s="645"/>
    </row>
    <row r="39" spans="1:10" ht="15" thickBot="1" x14ac:dyDescent="0.35">
      <c r="C39" s="140"/>
      <c r="D39" s="142"/>
      <c r="E39" s="143"/>
      <c r="F39" s="144"/>
      <c r="G39" s="144"/>
      <c r="H39" s="144"/>
      <c r="I39" s="11"/>
    </row>
    <row r="40" spans="1:10" ht="15" customHeight="1" thickBot="1" x14ac:dyDescent="0.35">
      <c r="C40" s="646" t="s">
        <v>37</v>
      </c>
      <c r="D40" s="647"/>
      <c r="E40" s="648"/>
      <c r="F40" s="336" t="s">
        <v>412</v>
      </c>
      <c r="G40" s="1"/>
      <c r="H40" s="1"/>
      <c r="I40" s="1"/>
      <c r="J40" s="1"/>
    </row>
    <row r="41" spans="1:10" x14ac:dyDescent="0.3">
      <c r="C41" s="1"/>
      <c r="D41" s="1"/>
      <c r="E41" s="1"/>
      <c r="F41" s="1"/>
      <c r="G41" s="1"/>
      <c r="H41" s="1"/>
      <c r="I41" s="1"/>
    </row>
    <row r="42" spans="1:10" x14ac:dyDescent="0.3">
      <c r="A42" s="8"/>
      <c r="B42" s="9" t="s">
        <v>38</v>
      </c>
      <c r="C42" s="9"/>
      <c r="D42" s="10"/>
      <c r="E42" s="10"/>
      <c r="F42" s="10"/>
      <c r="G42" s="10"/>
      <c r="H42" s="10"/>
      <c r="I42" s="10"/>
      <c r="J42" s="8"/>
    </row>
    <row r="43" spans="1:10" ht="33" customHeight="1" x14ac:dyDescent="0.3">
      <c r="C43" s="649" t="s">
        <v>262</v>
      </c>
      <c r="D43" s="649"/>
      <c r="E43" s="649"/>
      <c r="F43" s="649"/>
      <c r="G43" s="649"/>
      <c r="H43" s="649"/>
      <c r="I43" s="649"/>
    </row>
    <row r="44" spans="1:10" ht="15" customHeight="1" thickBot="1" x14ac:dyDescent="0.35">
      <c r="C44" s="1"/>
      <c r="D44" s="1"/>
      <c r="E44" s="1"/>
      <c r="F44" s="1"/>
      <c r="G44" s="1"/>
    </row>
    <row r="45" spans="1:10" ht="43.2" x14ac:dyDescent="0.3">
      <c r="C45" s="3"/>
      <c r="D45" s="3" t="s">
        <v>39</v>
      </c>
      <c r="E45" s="3" t="s">
        <v>40</v>
      </c>
      <c r="F45" s="3" t="s">
        <v>41</v>
      </c>
      <c r="G45" s="3" t="s">
        <v>42</v>
      </c>
      <c r="H45" s="41" t="s">
        <v>43</v>
      </c>
      <c r="I45" s="3" t="s">
        <v>44</v>
      </c>
    </row>
    <row r="46" spans="1:10" ht="16.2" thickBot="1" x14ac:dyDescent="0.35">
      <c r="C46" s="4"/>
      <c r="D46" s="5" t="s">
        <v>45</v>
      </c>
      <c r="E46" s="5" t="s">
        <v>46</v>
      </c>
      <c r="F46" s="53" t="s">
        <v>45</v>
      </c>
      <c r="G46" s="53" t="s">
        <v>46</v>
      </c>
      <c r="H46" s="52" t="s">
        <v>29</v>
      </c>
      <c r="I46" s="53" t="s">
        <v>29</v>
      </c>
      <c r="J46" s="16"/>
    </row>
    <row r="47" spans="1:10" ht="15" thickBot="1" x14ac:dyDescent="0.35">
      <c r="C47" s="92" t="s">
        <v>47</v>
      </c>
      <c r="D47" s="93">
        <f>SUM(Calculations!D30:D36)</f>
        <v>21118.591949977068</v>
      </c>
      <c r="E47" s="93">
        <f>SUM(Calculations!E30:E36)</f>
        <v>706.14935100827699</v>
      </c>
      <c r="F47" s="94">
        <f>Total_Homes*D20</f>
        <v>19061.767271386911</v>
      </c>
      <c r="G47" s="95">
        <f>Total_Homes*E20</f>
        <v>659.94862655214149</v>
      </c>
      <c r="H47" s="96">
        <f>IFERROR(D47/F47,0)</f>
        <v>1.1079031471377578</v>
      </c>
      <c r="I47" s="97">
        <f>IFERROR(E47/G47,0)</f>
        <v>1.0700065468694255</v>
      </c>
      <c r="J47" s="16"/>
    </row>
    <row r="48" spans="1:10" x14ac:dyDescent="0.3">
      <c r="J48" s="16"/>
    </row>
    <row r="49" spans="8:10" x14ac:dyDescent="0.3">
      <c r="J49" s="16"/>
    </row>
    <row r="50" spans="8:10" x14ac:dyDescent="0.3">
      <c r="J50" s="16"/>
    </row>
    <row r="51" spans="8:10" x14ac:dyDescent="0.3">
      <c r="J51" s="16"/>
    </row>
    <row r="52" spans="8:10" x14ac:dyDescent="0.3">
      <c r="J52" s="16"/>
    </row>
    <row r="53" spans="8:10" x14ac:dyDescent="0.3">
      <c r="J53" s="16"/>
    </row>
    <row r="54" spans="8:10" x14ac:dyDescent="0.3">
      <c r="J54" s="16"/>
    </row>
    <row r="55" spans="8:10" x14ac:dyDescent="0.3">
      <c r="J55" s="16"/>
    </row>
    <row r="56" spans="8:10" x14ac:dyDescent="0.3">
      <c r="H56" s="33"/>
      <c r="J56" s="16"/>
    </row>
    <row r="57" spans="8:10" x14ac:dyDescent="0.3">
      <c r="J57" s="16"/>
    </row>
    <row r="58" spans="8:10" x14ac:dyDescent="0.3">
      <c r="J58" s="16"/>
    </row>
    <row r="59" spans="8:10" x14ac:dyDescent="0.3">
      <c r="J59" s="16"/>
    </row>
    <row r="60" spans="8:10" x14ac:dyDescent="0.3">
      <c r="J60" s="16"/>
    </row>
    <row r="61" spans="8:10" x14ac:dyDescent="0.3">
      <c r="J61" s="16"/>
    </row>
    <row r="62" spans="8:10" x14ac:dyDescent="0.3">
      <c r="J62" s="16"/>
    </row>
    <row r="63" spans="8:10" x14ac:dyDescent="0.3">
      <c r="J63" s="16"/>
    </row>
  </sheetData>
  <mergeCells count="17">
    <mergeCell ref="F35:H35"/>
    <mergeCell ref="C4:I4"/>
    <mergeCell ref="C5:I5"/>
    <mergeCell ref="C6:I6"/>
    <mergeCell ref="C24:I24"/>
    <mergeCell ref="C25:I25"/>
    <mergeCell ref="C27:D27"/>
    <mergeCell ref="F29:H30"/>
    <mergeCell ref="F31:H31"/>
    <mergeCell ref="F32:H32"/>
    <mergeCell ref="F33:H33"/>
    <mergeCell ref="F34:H34"/>
    <mergeCell ref="F36:H36"/>
    <mergeCell ref="F37:H37"/>
    <mergeCell ref="F38:H38"/>
    <mergeCell ref="C40:E40"/>
    <mergeCell ref="C43:I43"/>
  </mergeCells>
  <dataValidations count="1">
    <dataValidation type="list" allowBlank="1" showInputMessage="1" showErrorMessage="1" sqref="F40" xr:uid="{00000000-0002-0000-0200-000000000000}">
      <formula1>"Yes, No"</formula1>
    </dataValidation>
  </dataValidation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Data!$E$5:$O$5</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rgb="FF00B050"/>
  </sheetPr>
  <dimension ref="A1:M156"/>
  <sheetViews>
    <sheetView tabSelected="1" zoomScale="72" zoomScaleNormal="72" workbookViewId="0">
      <pane ySplit="4" topLeftCell="A17" activePane="bottomLeft" state="frozen"/>
      <selection pane="bottomLeft" activeCell="B51" sqref="B51"/>
    </sheetView>
  </sheetViews>
  <sheetFormatPr defaultColWidth="9.109375" defaultRowHeight="14.4" x14ac:dyDescent="0.3"/>
  <cols>
    <col min="1" max="1" width="97.44140625" style="350" customWidth="1"/>
    <col min="2" max="3" width="14.6640625" style="350" customWidth="1"/>
    <col min="4" max="4" width="30.44140625" style="350" customWidth="1"/>
    <col min="5" max="6" width="15.6640625" style="344" customWidth="1"/>
    <col min="7" max="7" width="20" style="344" customWidth="1"/>
    <col min="8" max="8" width="9.109375" style="344" hidden="1" customWidth="1"/>
    <col min="9" max="9" width="10.88671875" style="344" bestFit="1" customWidth="1"/>
    <col min="10" max="14" width="17" style="344" customWidth="1"/>
    <col min="15" max="16384" width="9.109375" style="344"/>
  </cols>
  <sheetData>
    <row r="1" spans="1:8" ht="30.15" customHeight="1" thickBot="1" x14ac:dyDescent="0.35">
      <c r="A1" s="342" t="s">
        <v>269</v>
      </c>
      <c r="B1" s="241"/>
      <c r="C1" s="241"/>
      <c r="D1" s="241"/>
      <c r="E1" s="241"/>
      <c r="F1" s="241"/>
      <c r="G1" s="343"/>
    </row>
    <row r="2" spans="1:8" ht="15" customHeight="1" x14ac:dyDescent="0.3">
      <c r="A2" s="238" t="s">
        <v>407</v>
      </c>
      <c r="B2" s="381" t="s">
        <v>408</v>
      </c>
      <c r="C2" s="382"/>
      <c r="D2" s="383"/>
      <c r="E2" s="237" t="s">
        <v>167</v>
      </c>
      <c r="F2" s="236"/>
      <c r="G2" s="387" t="s">
        <v>131</v>
      </c>
    </row>
    <row r="3" spans="1:8" ht="15" customHeight="1" x14ac:dyDescent="0.3">
      <c r="A3" s="234" t="s">
        <v>166</v>
      </c>
      <c r="B3" s="384" t="s">
        <v>406</v>
      </c>
      <c r="C3" s="385"/>
      <c r="D3" s="386"/>
      <c r="E3" s="233" t="s">
        <v>165</v>
      </c>
      <c r="F3" s="232"/>
      <c r="G3" s="388" t="s">
        <v>127</v>
      </c>
    </row>
    <row r="4" spans="1:8" ht="15" thickBot="1" x14ac:dyDescent="0.35">
      <c r="A4" s="230" t="s">
        <v>164</v>
      </c>
      <c r="B4" s="229" t="s">
        <v>163</v>
      </c>
      <c r="C4" s="229" t="s">
        <v>162</v>
      </c>
      <c r="D4" s="228" t="s">
        <v>161</v>
      </c>
      <c r="E4" s="227" t="s">
        <v>160</v>
      </c>
      <c r="F4" s="227" t="s">
        <v>159</v>
      </c>
      <c r="G4" s="226" t="s">
        <v>158</v>
      </c>
    </row>
    <row r="5" spans="1:8" ht="16.5" customHeight="1" thickBot="1" x14ac:dyDescent="0.35">
      <c r="A5" s="391" t="s">
        <v>414</v>
      </c>
      <c r="B5" s="575">
        <v>44119</v>
      </c>
      <c r="C5" s="575">
        <v>44133</v>
      </c>
      <c r="D5" s="345"/>
      <c r="E5" s="346"/>
      <c r="F5" s="346"/>
      <c r="G5" s="347"/>
    </row>
    <row r="6" spans="1:8" ht="31.5" customHeight="1" thickBot="1" x14ac:dyDescent="0.35">
      <c r="A6" s="391" t="s">
        <v>411</v>
      </c>
      <c r="B6" s="404"/>
      <c r="C6" s="404"/>
      <c r="D6" s="348"/>
      <c r="E6" s="348"/>
      <c r="F6" s="348"/>
      <c r="G6" s="349"/>
    </row>
    <row r="7" spans="1:8" x14ac:dyDescent="0.3">
      <c r="A7" s="577" t="s">
        <v>410</v>
      </c>
      <c r="B7" s="570">
        <v>44119</v>
      </c>
      <c r="C7" s="570">
        <v>44133</v>
      </c>
      <c r="D7" s="194" t="s">
        <v>273</v>
      </c>
      <c r="E7" s="192">
        <v>3500</v>
      </c>
      <c r="F7" s="191">
        <v>0</v>
      </c>
      <c r="G7" s="219">
        <f>E7+F7</f>
        <v>3500</v>
      </c>
    </row>
    <row r="8" spans="1:8" ht="15.75" customHeight="1" thickBot="1" x14ac:dyDescent="0.35">
      <c r="A8" s="189" t="s">
        <v>138</v>
      </c>
      <c r="B8" s="351"/>
      <c r="C8" s="351"/>
      <c r="D8" s="351"/>
      <c r="E8" s="351"/>
      <c r="F8" s="351"/>
      <c r="G8" s="187">
        <f ca="1">SUM(G7:OFFSET(G8,-1,0))</f>
        <v>3500</v>
      </c>
      <c r="H8" s="352">
        <f>SUMIF((G5),"=YES",E8)</f>
        <v>0</v>
      </c>
    </row>
    <row r="9" spans="1:8" ht="15" thickBot="1" x14ac:dyDescent="0.35">
      <c r="A9" s="391" t="s">
        <v>419</v>
      </c>
      <c r="B9" s="575">
        <v>44335</v>
      </c>
      <c r="C9" s="575">
        <v>44742</v>
      </c>
      <c r="D9" s="345"/>
      <c r="E9" s="346"/>
      <c r="F9" s="346"/>
      <c r="G9" s="347"/>
    </row>
    <row r="10" spans="1:8" ht="30.75" customHeight="1" thickBot="1" x14ac:dyDescent="0.35">
      <c r="A10" s="391" t="s">
        <v>422</v>
      </c>
      <c r="B10" s="404"/>
      <c r="C10" s="404"/>
      <c r="D10" s="348"/>
      <c r="E10" s="348"/>
      <c r="F10" s="348"/>
      <c r="G10" s="349"/>
    </row>
    <row r="11" spans="1:8" ht="29.4" thickBot="1" x14ac:dyDescent="0.35">
      <c r="A11" s="577" t="s">
        <v>433</v>
      </c>
      <c r="B11" s="570">
        <v>44335</v>
      </c>
      <c r="C11" s="570">
        <v>44351</v>
      </c>
      <c r="D11" s="194"/>
      <c r="E11" s="192"/>
      <c r="F11" s="191"/>
      <c r="G11" s="219">
        <v>0</v>
      </c>
    </row>
    <row r="12" spans="1:8" ht="43.2" x14ac:dyDescent="0.3">
      <c r="A12" s="576" t="s">
        <v>434</v>
      </c>
      <c r="B12" s="575">
        <v>44335</v>
      </c>
      <c r="C12" s="575">
        <v>44377</v>
      </c>
      <c r="D12" s="393" t="s">
        <v>280</v>
      </c>
      <c r="E12" s="394">
        <v>11000</v>
      </c>
      <c r="F12" s="395"/>
      <c r="G12" s="219">
        <v>11000</v>
      </c>
    </row>
    <row r="13" spans="1:8" ht="28.8" x14ac:dyDescent="0.3">
      <c r="A13" s="577" t="s">
        <v>445</v>
      </c>
      <c r="B13" s="570">
        <v>44378</v>
      </c>
      <c r="C13" s="570">
        <v>45016</v>
      </c>
      <c r="D13" s="194" t="s">
        <v>280</v>
      </c>
      <c r="E13" s="192">
        <v>22000</v>
      </c>
      <c r="F13" s="191"/>
      <c r="G13" s="219">
        <v>22000</v>
      </c>
    </row>
    <row r="14" spans="1:8" x14ac:dyDescent="0.3">
      <c r="A14" s="576" t="s">
        <v>423</v>
      </c>
      <c r="B14" s="569">
        <v>44440</v>
      </c>
      <c r="C14" s="569">
        <v>44454</v>
      </c>
      <c r="D14" s="396"/>
      <c r="E14" s="397"/>
      <c r="F14" s="398"/>
      <c r="G14" s="219">
        <f>E14+F14</f>
        <v>0</v>
      </c>
    </row>
    <row r="15" spans="1:8" ht="28.8" x14ac:dyDescent="0.3">
      <c r="A15" s="577" t="s">
        <v>446</v>
      </c>
      <c r="B15" s="570">
        <v>44454</v>
      </c>
      <c r="C15" s="570">
        <v>44469</v>
      </c>
      <c r="D15" s="194"/>
      <c r="E15" s="192"/>
      <c r="F15" s="191"/>
      <c r="G15" s="219">
        <f t="shared" ref="G15:G26" si="0">E15+F15</f>
        <v>0</v>
      </c>
    </row>
    <row r="16" spans="1:8" x14ac:dyDescent="0.3">
      <c r="A16" s="576" t="s">
        <v>424</v>
      </c>
      <c r="B16" s="569">
        <v>44470</v>
      </c>
      <c r="C16" s="569">
        <v>44477</v>
      </c>
      <c r="D16" s="396"/>
      <c r="E16" s="397"/>
      <c r="F16" s="398"/>
      <c r="G16" s="219">
        <f t="shared" si="0"/>
        <v>0</v>
      </c>
    </row>
    <row r="17" spans="1:8" x14ac:dyDescent="0.3">
      <c r="A17" s="577" t="s">
        <v>447</v>
      </c>
      <c r="B17" s="570">
        <v>44477</v>
      </c>
      <c r="C17" s="570">
        <v>44484</v>
      </c>
      <c r="D17" s="194"/>
      <c r="E17" s="192"/>
      <c r="F17" s="191"/>
      <c r="G17" s="219">
        <f t="shared" si="0"/>
        <v>0</v>
      </c>
    </row>
    <row r="18" spans="1:8" ht="28.8" x14ac:dyDescent="0.3">
      <c r="A18" s="576" t="s">
        <v>435</v>
      </c>
      <c r="B18" s="569">
        <v>44487</v>
      </c>
      <c r="C18" s="569">
        <v>44491</v>
      </c>
      <c r="D18" s="396"/>
      <c r="E18" s="397"/>
      <c r="F18" s="398"/>
      <c r="G18" s="219">
        <f t="shared" si="0"/>
        <v>0</v>
      </c>
    </row>
    <row r="19" spans="1:8" ht="28.8" x14ac:dyDescent="0.3">
      <c r="A19" s="577" t="s">
        <v>436</v>
      </c>
      <c r="B19" s="570">
        <v>44494</v>
      </c>
      <c r="C19" s="570">
        <v>44505</v>
      </c>
      <c r="D19" s="194"/>
      <c r="E19" s="192"/>
      <c r="F19" s="191"/>
      <c r="G19" s="219">
        <f t="shared" si="0"/>
        <v>0</v>
      </c>
    </row>
    <row r="20" spans="1:8" ht="28.8" x14ac:dyDescent="0.3">
      <c r="A20" s="576" t="s">
        <v>437</v>
      </c>
      <c r="B20" s="569">
        <v>44508</v>
      </c>
      <c r="C20" s="569">
        <v>44510</v>
      </c>
      <c r="D20" s="396"/>
      <c r="E20" s="397"/>
      <c r="F20" s="398"/>
      <c r="G20" s="219">
        <f t="shared" si="0"/>
        <v>0</v>
      </c>
    </row>
    <row r="21" spans="1:8" x14ac:dyDescent="0.3">
      <c r="A21" s="577" t="s">
        <v>448</v>
      </c>
      <c r="B21" s="570">
        <v>44510</v>
      </c>
      <c r="C21" s="570">
        <v>44510</v>
      </c>
      <c r="D21" s="194"/>
      <c r="E21" s="192"/>
      <c r="F21" s="191"/>
      <c r="G21" s="219">
        <f t="shared" si="0"/>
        <v>0</v>
      </c>
    </row>
    <row r="22" spans="1:8" x14ac:dyDescent="0.3">
      <c r="A22" s="576" t="s">
        <v>449</v>
      </c>
      <c r="B22" s="569">
        <v>44510</v>
      </c>
      <c r="C22" s="569">
        <v>44524</v>
      </c>
      <c r="D22" s="396" t="s">
        <v>280</v>
      </c>
      <c r="E22" s="397">
        <v>52000</v>
      </c>
      <c r="F22" s="398"/>
      <c r="G22" s="219">
        <f t="shared" si="0"/>
        <v>52000</v>
      </c>
    </row>
    <row r="23" spans="1:8" ht="28.8" x14ac:dyDescent="0.3">
      <c r="A23" s="577" t="s">
        <v>450</v>
      </c>
      <c r="B23" s="570">
        <v>44529</v>
      </c>
      <c r="C23" s="570">
        <v>44651</v>
      </c>
      <c r="D23" s="194"/>
      <c r="E23" s="192"/>
      <c r="F23" s="191"/>
      <c r="G23" s="219">
        <f t="shared" si="0"/>
        <v>0</v>
      </c>
    </row>
    <row r="24" spans="1:8" x14ac:dyDescent="0.3">
      <c r="A24" s="583" t="s">
        <v>453</v>
      </c>
      <c r="B24" s="584">
        <v>44652</v>
      </c>
      <c r="C24" s="584">
        <v>110409</v>
      </c>
      <c r="D24" s="585"/>
      <c r="E24" s="586"/>
      <c r="F24" s="215"/>
      <c r="G24" s="219"/>
    </row>
    <row r="25" spans="1:8" x14ac:dyDescent="0.3">
      <c r="A25" s="583" t="s">
        <v>452</v>
      </c>
      <c r="B25" s="584">
        <v>44669</v>
      </c>
      <c r="C25" s="584">
        <v>44673</v>
      </c>
      <c r="D25" s="585"/>
      <c r="E25" s="586"/>
      <c r="F25" s="215"/>
      <c r="G25" s="219"/>
    </row>
    <row r="26" spans="1:8" ht="28.8" x14ac:dyDescent="0.3">
      <c r="A26" s="576" t="s">
        <v>451</v>
      </c>
      <c r="B26" s="569">
        <v>44676</v>
      </c>
      <c r="C26" s="569">
        <v>44697</v>
      </c>
      <c r="D26" s="396"/>
      <c r="E26" s="397"/>
      <c r="F26" s="398"/>
      <c r="G26" s="219">
        <f t="shared" si="0"/>
        <v>0</v>
      </c>
    </row>
    <row r="27" spans="1:8" ht="15" thickBot="1" x14ac:dyDescent="0.35">
      <c r="A27" s="189" t="s">
        <v>138</v>
      </c>
      <c r="B27" s="573"/>
      <c r="C27" s="574"/>
      <c r="D27" s="351"/>
      <c r="E27" s="351"/>
      <c r="F27" s="351"/>
      <c r="G27" s="187">
        <f ca="1">SUM(G12:OFFSET(G27,-1,0))</f>
        <v>85000</v>
      </c>
      <c r="H27" s="344">
        <f>SUMIF((G9),"=YES",E27)</f>
        <v>0</v>
      </c>
    </row>
    <row r="28" spans="1:8" ht="15.75" customHeight="1" thickBot="1" x14ac:dyDescent="0.35">
      <c r="A28" s="391" t="s">
        <v>420</v>
      </c>
      <c r="B28" s="571">
        <v>44697</v>
      </c>
      <c r="C28" s="571">
        <v>44813</v>
      </c>
      <c r="D28" s="345"/>
      <c r="E28" s="346"/>
      <c r="F28" s="346"/>
      <c r="G28" s="347"/>
    </row>
    <row r="29" spans="1:8" ht="30.75" customHeight="1" thickBot="1" x14ac:dyDescent="0.35">
      <c r="A29" s="391" t="s">
        <v>413</v>
      </c>
      <c r="B29" s="404"/>
      <c r="C29" s="404"/>
      <c r="D29" s="348"/>
      <c r="E29" s="348"/>
      <c r="F29" s="348"/>
      <c r="G29" s="349"/>
    </row>
    <row r="30" spans="1:8" ht="30.75" customHeight="1" x14ac:dyDescent="0.3">
      <c r="A30" s="578" t="s">
        <v>438</v>
      </c>
      <c r="B30" s="575">
        <v>44697</v>
      </c>
      <c r="C30" s="575">
        <v>44701</v>
      </c>
      <c r="D30" s="393"/>
      <c r="E30" s="402"/>
      <c r="F30" s="395"/>
      <c r="G30" s="190">
        <f t="shared" ref="G30" si="1">E30+F30</f>
        <v>0</v>
      </c>
    </row>
    <row r="31" spans="1:8" ht="34.5" customHeight="1" x14ac:dyDescent="0.3">
      <c r="A31" s="572" t="s">
        <v>425</v>
      </c>
      <c r="B31" s="570">
        <v>44727</v>
      </c>
      <c r="C31" s="570">
        <v>44742</v>
      </c>
      <c r="D31" s="194" t="s">
        <v>279</v>
      </c>
      <c r="E31" s="192">
        <v>750</v>
      </c>
      <c r="F31" s="191"/>
      <c r="G31" s="190">
        <v>750</v>
      </c>
    </row>
    <row r="32" spans="1:8" ht="45.75" customHeight="1" x14ac:dyDescent="0.3">
      <c r="A32" s="578" t="s">
        <v>454</v>
      </c>
      <c r="B32" s="575">
        <v>44742</v>
      </c>
      <c r="C32" s="575">
        <v>44757</v>
      </c>
      <c r="D32" s="393"/>
      <c r="E32" s="402"/>
      <c r="F32" s="395"/>
      <c r="G32" s="190">
        <f t="shared" ref="G32:G39" si="2">E32+F32</f>
        <v>0</v>
      </c>
    </row>
    <row r="33" spans="1:8" x14ac:dyDescent="0.3">
      <c r="A33" s="572" t="s">
        <v>455</v>
      </c>
      <c r="B33" s="570">
        <v>44760</v>
      </c>
      <c r="C33" s="570">
        <v>44764</v>
      </c>
      <c r="D33" s="194"/>
      <c r="E33" s="192"/>
      <c r="F33" s="191"/>
      <c r="G33" s="190">
        <f t="shared" si="2"/>
        <v>0</v>
      </c>
    </row>
    <row r="34" spans="1:8" ht="15.75" customHeight="1" x14ac:dyDescent="0.3">
      <c r="A34" s="578" t="s">
        <v>456</v>
      </c>
      <c r="B34" s="575">
        <v>44767</v>
      </c>
      <c r="C34" s="575">
        <v>44771</v>
      </c>
      <c r="D34" s="393"/>
      <c r="E34" s="402"/>
      <c r="F34" s="395"/>
      <c r="G34" s="190">
        <f t="shared" si="2"/>
        <v>0</v>
      </c>
    </row>
    <row r="35" spans="1:8" ht="43.5" customHeight="1" x14ac:dyDescent="0.3">
      <c r="A35" s="572" t="s">
        <v>439</v>
      </c>
      <c r="B35" s="570">
        <v>44774</v>
      </c>
      <c r="C35" s="570">
        <v>44785</v>
      </c>
      <c r="D35" s="194"/>
      <c r="E35" s="192"/>
      <c r="F35" s="191"/>
      <c r="G35" s="190">
        <f t="shared" si="2"/>
        <v>0</v>
      </c>
    </row>
    <row r="36" spans="1:8" ht="30.75" customHeight="1" x14ac:dyDescent="0.3">
      <c r="A36" s="578" t="s">
        <v>440</v>
      </c>
      <c r="B36" s="575">
        <v>44788</v>
      </c>
      <c r="C36" s="575">
        <v>44792</v>
      </c>
      <c r="D36" s="393"/>
      <c r="E36" s="402"/>
      <c r="F36" s="395"/>
      <c r="G36" s="190">
        <f t="shared" si="2"/>
        <v>0</v>
      </c>
    </row>
    <row r="37" spans="1:8" x14ac:dyDescent="0.3">
      <c r="A37" s="572" t="s">
        <v>457</v>
      </c>
      <c r="B37" s="570">
        <v>44795</v>
      </c>
      <c r="C37" s="570">
        <v>44799</v>
      </c>
      <c r="D37" s="194"/>
      <c r="E37" s="192"/>
      <c r="F37" s="191"/>
      <c r="G37" s="190">
        <f t="shared" si="2"/>
        <v>0</v>
      </c>
    </row>
    <row r="38" spans="1:8" ht="33" customHeight="1" x14ac:dyDescent="0.3">
      <c r="A38" s="578" t="s">
        <v>441</v>
      </c>
      <c r="B38" s="575">
        <v>44802</v>
      </c>
      <c r="C38" s="575">
        <v>44806</v>
      </c>
      <c r="D38" s="393"/>
      <c r="E38" s="402"/>
      <c r="F38" s="395"/>
      <c r="G38" s="190">
        <f t="shared" si="2"/>
        <v>0</v>
      </c>
    </row>
    <row r="39" spans="1:8" x14ac:dyDescent="0.3">
      <c r="A39" s="572" t="s">
        <v>442</v>
      </c>
      <c r="B39" s="570">
        <v>44809</v>
      </c>
      <c r="C39" s="570">
        <v>44812</v>
      </c>
      <c r="D39" s="194"/>
      <c r="E39" s="192"/>
      <c r="F39" s="191"/>
      <c r="G39" s="190">
        <f t="shared" si="2"/>
        <v>0</v>
      </c>
    </row>
    <row r="40" spans="1:8" ht="15" thickBot="1" x14ac:dyDescent="0.35">
      <c r="A40" s="189" t="s">
        <v>138</v>
      </c>
      <c r="B40" s="351"/>
      <c r="C40" s="351"/>
      <c r="D40" s="351"/>
      <c r="E40" s="351"/>
      <c r="F40" s="351"/>
      <c r="G40" s="187">
        <f ca="1">SUM(G31:OFFSET(G40,-1,0))</f>
        <v>750</v>
      </c>
      <c r="H40" s="344">
        <f>SUMIF((G28),"=YES",E40)</f>
        <v>0</v>
      </c>
    </row>
    <row r="41" spans="1:8" ht="15" thickBot="1" x14ac:dyDescent="0.35">
      <c r="A41" s="391" t="s">
        <v>428</v>
      </c>
      <c r="B41" s="570">
        <v>44813</v>
      </c>
      <c r="C41" s="570">
        <v>44830</v>
      </c>
      <c r="D41" s="345"/>
      <c r="E41" s="346"/>
      <c r="F41" s="346"/>
      <c r="G41" s="347"/>
    </row>
    <row r="42" spans="1:8" ht="30.75" customHeight="1" thickBot="1" x14ac:dyDescent="0.35">
      <c r="A42" s="390" t="s">
        <v>421</v>
      </c>
      <c r="B42" s="404"/>
      <c r="C42" s="404"/>
      <c r="D42" s="348"/>
      <c r="E42" s="348"/>
      <c r="F42" s="348"/>
      <c r="G42" s="349"/>
    </row>
    <row r="43" spans="1:8" ht="20.25" customHeight="1" x14ac:dyDescent="0.3">
      <c r="A43" s="578" t="s">
        <v>415</v>
      </c>
      <c r="B43" s="575">
        <v>44809</v>
      </c>
      <c r="C43" s="575">
        <v>44813</v>
      </c>
      <c r="D43" s="393"/>
      <c r="E43" s="402"/>
      <c r="F43" s="395"/>
      <c r="G43" s="190">
        <f t="shared" ref="G43:G46" si="3">E43+F43</f>
        <v>0</v>
      </c>
    </row>
    <row r="44" spans="1:8" x14ac:dyDescent="0.3">
      <c r="A44" s="572" t="s">
        <v>443</v>
      </c>
      <c r="B44" s="570">
        <v>44816</v>
      </c>
      <c r="C44" s="570">
        <v>44816</v>
      </c>
      <c r="D44" s="194"/>
      <c r="E44" s="192"/>
      <c r="F44" s="191"/>
      <c r="G44" s="190">
        <f t="shared" si="3"/>
        <v>0</v>
      </c>
    </row>
    <row r="45" spans="1:8" ht="20.25" customHeight="1" x14ac:dyDescent="0.3">
      <c r="A45" s="578" t="s">
        <v>416</v>
      </c>
      <c r="B45" s="575">
        <v>44830</v>
      </c>
      <c r="C45" s="575">
        <v>44830</v>
      </c>
      <c r="D45" s="393"/>
      <c r="E45" s="402"/>
      <c r="F45" s="395"/>
      <c r="G45" s="190">
        <f t="shared" si="3"/>
        <v>0</v>
      </c>
    </row>
    <row r="46" spans="1:8" x14ac:dyDescent="0.3">
      <c r="A46" s="572" t="s">
        <v>444</v>
      </c>
      <c r="B46" s="570">
        <v>43831</v>
      </c>
      <c r="C46" s="570">
        <v>44926</v>
      </c>
      <c r="D46" s="194" t="s">
        <v>285</v>
      </c>
      <c r="E46" s="192">
        <v>205</v>
      </c>
      <c r="F46" s="191"/>
      <c r="G46" s="190">
        <f t="shared" si="3"/>
        <v>205</v>
      </c>
    </row>
    <row r="47" spans="1:8" ht="15" thickBot="1" x14ac:dyDescent="0.35">
      <c r="A47" s="189" t="s">
        <v>138</v>
      </c>
      <c r="B47" s="351"/>
      <c r="C47" s="351"/>
      <c r="D47" s="351"/>
      <c r="E47" s="351"/>
      <c r="F47" s="351"/>
      <c r="G47" s="187">
        <f>SUM(G43:G46)</f>
        <v>205</v>
      </c>
      <c r="H47" s="344" t="e">
        <f>SUMIF((#REF!),"=YES",E47)</f>
        <v>#REF!</v>
      </c>
    </row>
    <row r="48" spans="1:8" ht="15" thickBot="1" x14ac:dyDescent="0.35">
      <c r="A48" s="391" t="s">
        <v>458</v>
      </c>
      <c r="B48" s="389">
        <v>44837</v>
      </c>
      <c r="C48" s="389">
        <v>45016</v>
      </c>
      <c r="D48" s="345"/>
      <c r="E48" s="346"/>
      <c r="F48" s="346"/>
      <c r="G48" s="347"/>
    </row>
    <row r="49" spans="1:7" ht="30.75" customHeight="1" thickBot="1" x14ac:dyDescent="0.35">
      <c r="A49" s="587" t="s">
        <v>459</v>
      </c>
      <c r="B49" s="404"/>
      <c r="C49" s="404"/>
      <c r="D49" s="348"/>
      <c r="E49" s="348"/>
      <c r="F49" s="348"/>
      <c r="G49" s="349"/>
    </row>
    <row r="50" spans="1:7" x14ac:dyDescent="0.3">
      <c r="A50" s="399" t="s">
        <v>139</v>
      </c>
      <c r="B50" s="392"/>
      <c r="C50" s="392"/>
      <c r="D50" s="393"/>
      <c r="E50" s="394"/>
      <c r="F50" s="395"/>
      <c r="G50" s="190">
        <f t="shared" ref="G50:G65" si="4">E50+F50</f>
        <v>0</v>
      </c>
    </row>
    <row r="51" spans="1:7" x14ac:dyDescent="0.3">
      <c r="A51" s="196" t="s">
        <v>139</v>
      </c>
      <c r="B51" s="195"/>
      <c r="C51" s="194"/>
      <c r="D51" s="194"/>
      <c r="E51" s="192"/>
      <c r="F51" s="191"/>
      <c r="G51" s="190">
        <f t="shared" si="4"/>
        <v>0</v>
      </c>
    </row>
    <row r="52" spans="1:7" x14ac:dyDescent="0.3">
      <c r="A52" s="399" t="s">
        <v>139</v>
      </c>
      <c r="B52" s="400"/>
      <c r="C52" s="401"/>
      <c r="D52" s="401"/>
      <c r="E52" s="402"/>
      <c r="F52" s="403"/>
      <c r="G52" s="190">
        <f t="shared" si="4"/>
        <v>0</v>
      </c>
    </row>
    <row r="53" spans="1:7" x14ac:dyDescent="0.3">
      <c r="A53" s="196" t="s">
        <v>139</v>
      </c>
      <c r="B53" s="195"/>
      <c r="C53" s="194"/>
      <c r="D53" s="194"/>
      <c r="E53" s="192"/>
      <c r="F53" s="191"/>
      <c r="G53" s="190">
        <f t="shared" si="4"/>
        <v>0</v>
      </c>
    </row>
    <row r="54" spans="1:7" x14ac:dyDescent="0.3">
      <c r="A54" s="399" t="s">
        <v>139</v>
      </c>
      <c r="B54" s="400"/>
      <c r="C54" s="401"/>
      <c r="D54" s="401"/>
      <c r="E54" s="402"/>
      <c r="F54" s="403"/>
      <c r="G54" s="190">
        <f t="shared" si="4"/>
        <v>0</v>
      </c>
    </row>
    <row r="55" spans="1:7" x14ac:dyDescent="0.3">
      <c r="A55" s="196" t="s">
        <v>139</v>
      </c>
      <c r="B55" s="195"/>
      <c r="C55" s="194"/>
      <c r="D55" s="194"/>
      <c r="E55" s="192"/>
      <c r="F55" s="191"/>
      <c r="G55" s="190">
        <f t="shared" si="4"/>
        <v>0</v>
      </c>
    </row>
    <row r="56" spans="1:7" x14ac:dyDescent="0.3">
      <c r="A56" s="399" t="s">
        <v>139</v>
      </c>
      <c r="B56" s="400"/>
      <c r="C56" s="401"/>
      <c r="D56" s="401"/>
      <c r="E56" s="402"/>
      <c r="F56" s="403"/>
      <c r="G56" s="190">
        <f t="shared" si="4"/>
        <v>0</v>
      </c>
    </row>
    <row r="57" spans="1:7" x14ac:dyDescent="0.3">
      <c r="A57" s="196" t="s">
        <v>139</v>
      </c>
      <c r="B57" s="195"/>
      <c r="C57" s="194"/>
      <c r="D57" s="194"/>
      <c r="E57" s="192"/>
      <c r="F57" s="191"/>
      <c r="G57" s="190">
        <f t="shared" si="4"/>
        <v>0</v>
      </c>
    </row>
    <row r="58" spans="1:7" x14ac:dyDescent="0.3">
      <c r="A58" s="399" t="s">
        <v>139</v>
      </c>
      <c r="B58" s="400"/>
      <c r="C58" s="401"/>
      <c r="D58" s="401"/>
      <c r="E58" s="402"/>
      <c r="F58" s="403"/>
      <c r="G58" s="190">
        <f t="shared" si="4"/>
        <v>0</v>
      </c>
    </row>
    <row r="59" spans="1:7" x14ac:dyDescent="0.3">
      <c r="A59" s="196" t="s">
        <v>139</v>
      </c>
      <c r="B59" s="195"/>
      <c r="C59" s="194"/>
      <c r="D59" s="194"/>
      <c r="E59" s="192"/>
      <c r="F59" s="191"/>
      <c r="G59" s="190">
        <f t="shared" si="4"/>
        <v>0</v>
      </c>
    </row>
    <row r="60" spans="1:7" x14ac:dyDescent="0.3">
      <c r="A60" s="399" t="s">
        <v>139</v>
      </c>
      <c r="B60" s="400"/>
      <c r="C60" s="401"/>
      <c r="D60" s="401"/>
      <c r="E60" s="402"/>
      <c r="F60" s="403"/>
      <c r="G60" s="190">
        <f t="shared" si="4"/>
        <v>0</v>
      </c>
    </row>
    <row r="61" spans="1:7" x14ac:dyDescent="0.3">
      <c r="A61" s="196" t="s">
        <v>139</v>
      </c>
      <c r="B61" s="195"/>
      <c r="C61" s="194"/>
      <c r="D61" s="194"/>
      <c r="E61" s="192"/>
      <c r="F61" s="191"/>
      <c r="G61" s="190">
        <f t="shared" si="4"/>
        <v>0</v>
      </c>
    </row>
    <row r="62" spans="1:7" x14ac:dyDescent="0.3">
      <c r="A62" s="399" t="s">
        <v>139</v>
      </c>
      <c r="B62" s="400"/>
      <c r="C62" s="401"/>
      <c r="D62" s="401"/>
      <c r="E62" s="402"/>
      <c r="F62" s="403"/>
      <c r="G62" s="190">
        <f t="shared" si="4"/>
        <v>0</v>
      </c>
    </row>
    <row r="63" spans="1:7" x14ac:dyDescent="0.3">
      <c r="A63" s="196" t="s">
        <v>139</v>
      </c>
      <c r="B63" s="195"/>
      <c r="C63" s="194"/>
      <c r="D63" s="194"/>
      <c r="E63" s="192"/>
      <c r="F63" s="191"/>
      <c r="G63" s="190">
        <f t="shared" si="4"/>
        <v>0</v>
      </c>
    </row>
    <row r="64" spans="1:7" x14ac:dyDescent="0.3">
      <c r="A64" s="399" t="s">
        <v>139</v>
      </c>
      <c r="B64" s="400"/>
      <c r="C64" s="401"/>
      <c r="D64" s="401"/>
      <c r="E64" s="402"/>
      <c r="F64" s="403"/>
      <c r="G64" s="190">
        <f t="shared" si="4"/>
        <v>0</v>
      </c>
    </row>
    <row r="65" spans="1:13" x14ac:dyDescent="0.3">
      <c r="A65" s="196" t="s">
        <v>139</v>
      </c>
      <c r="B65" s="195"/>
      <c r="C65" s="194"/>
      <c r="D65" s="194"/>
      <c r="E65" s="192"/>
      <c r="F65" s="191"/>
      <c r="G65" s="190">
        <f t="shared" si="4"/>
        <v>0</v>
      </c>
    </row>
    <row r="66" spans="1:13" ht="15" thickBot="1" x14ac:dyDescent="0.35">
      <c r="A66" s="189" t="s">
        <v>138</v>
      </c>
      <c r="B66" s="351"/>
      <c r="C66" s="351"/>
      <c r="D66" s="351"/>
      <c r="E66" s="351"/>
      <c r="F66" s="351"/>
      <c r="G66" s="187">
        <f ca="1">SUM(G49:OFFSET(G66,-1,0))</f>
        <v>0</v>
      </c>
      <c r="H66" s="344">
        <f>SUMIF((G48),"=YES",E66)</f>
        <v>0</v>
      </c>
    </row>
    <row r="67" spans="1:13" ht="15" thickBot="1" x14ac:dyDescent="0.35">
      <c r="A67" s="186" t="s">
        <v>137</v>
      </c>
      <c r="B67" s="353"/>
      <c r="C67" s="353"/>
      <c r="D67" s="354"/>
      <c r="E67" s="183">
        <f ca="1">ROUNDDOWN((SUM(E7:OFFSET(E67,-1,0))),-2)</f>
        <v>89400</v>
      </c>
      <c r="F67" s="183">
        <f ca="1">ROUNDDOWN((SUM(F7:OFFSET(F67,-1,0))),-2)</f>
        <v>0</v>
      </c>
      <c r="G67" s="182">
        <f ca="1">E67+F67</f>
        <v>89400</v>
      </c>
    </row>
    <row r="68" spans="1:13" ht="18" customHeight="1" thickBot="1" x14ac:dyDescent="0.35">
      <c r="A68" s="355"/>
      <c r="B68" s="355"/>
      <c r="C68" s="355"/>
      <c r="D68" s="355"/>
      <c r="E68" s="356"/>
      <c r="F68" s="356"/>
      <c r="G68" s="356"/>
    </row>
    <row r="69" spans="1:13" ht="50.25" customHeight="1" thickBot="1" x14ac:dyDescent="0.35">
      <c r="D69" s="179" t="s">
        <v>405</v>
      </c>
      <c r="E69" s="178" t="s">
        <v>136</v>
      </c>
      <c r="F69" s="177"/>
      <c r="G69" s="176">
        <f ca="1">E67</f>
        <v>89400</v>
      </c>
    </row>
    <row r="70" spans="1:13" ht="12" customHeight="1" x14ac:dyDescent="0.3">
      <c r="C70" s="344"/>
      <c r="D70" s="344"/>
      <c r="L70" s="350"/>
      <c r="M70" s="350"/>
    </row>
    <row r="71" spans="1:13" ht="20.25" customHeight="1" x14ac:dyDescent="0.3">
      <c r="A71" s="174" t="s">
        <v>135</v>
      </c>
      <c r="B71" s="357"/>
      <c r="C71" s="357"/>
      <c r="D71" s="357"/>
      <c r="E71" s="357"/>
      <c r="F71" s="357"/>
      <c r="G71" s="358"/>
    </row>
    <row r="72" spans="1:13" ht="57.6" x14ac:dyDescent="0.3">
      <c r="A72" s="405" t="s">
        <v>427</v>
      </c>
      <c r="B72" s="359"/>
      <c r="C72" s="359"/>
      <c r="D72" s="359"/>
      <c r="E72" s="359"/>
      <c r="F72" s="359"/>
      <c r="G72" s="360"/>
    </row>
    <row r="73" spans="1:13" ht="15" customHeight="1" x14ac:dyDescent="0.3">
      <c r="A73" s="361"/>
      <c r="B73" s="361"/>
      <c r="C73" s="361"/>
      <c r="D73" s="361"/>
      <c r="E73" s="362"/>
      <c r="F73" s="363"/>
      <c r="G73" s="364"/>
    </row>
    <row r="74" spans="1:13" x14ac:dyDescent="0.3">
      <c r="A74" s="169" t="s">
        <v>133</v>
      </c>
      <c r="B74" s="357"/>
      <c r="C74" s="357"/>
      <c r="D74" s="357"/>
      <c r="E74" s="357"/>
      <c r="F74" s="357"/>
      <c r="G74" s="358"/>
    </row>
    <row r="75" spans="1:13" ht="49.5" customHeight="1" x14ac:dyDescent="0.3">
      <c r="A75" s="405"/>
      <c r="B75" s="359"/>
      <c r="C75" s="359"/>
      <c r="D75" s="359"/>
      <c r="E75" s="359"/>
      <c r="F75" s="359"/>
      <c r="G75" s="360"/>
    </row>
    <row r="76" spans="1:13" ht="17.25" customHeight="1" x14ac:dyDescent="0.3">
      <c r="A76" s="365"/>
      <c r="B76" s="365"/>
      <c r="C76" s="365"/>
      <c r="D76" s="365"/>
      <c r="E76" s="365"/>
      <c r="F76" s="365"/>
      <c r="G76" s="365"/>
    </row>
    <row r="77" spans="1:13" ht="24.75" customHeight="1" x14ac:dyDescent="0.35">
      <c r="A77" s="366" t="s">
        <v>301</v>
      </c>
      <c r="B77" s="367"/>
    </row>
    <row r="78" spans="1:13" ht="30" customHeight="1" x14ac:dyDescent="0.3">
      <c r="A78" s="368" t="s">
        <v>270</v>
      </c>
      <c r="B78" s="369">
        <f>IF(G2="Municipal",'[2]4. Sources of Funding'!E4*0.7, IF(G2="Municipally Owned Corporation",'[2]4. Sources of Funding'!E4*0.7,IF(G2="NGO/Other",'[2]4. Sources of Funding'!E4*0.5, IF(G2="Private",0, 0))))</f>
        <v>0</v>
      </c>
      <c r="C78" s="370"/>
      <c r="D78" s="370"/>
    </row>
    <row r="79" spans="1:13" ht="195" customHeight="1" x14ac:dyDescent="0.3">
      <c r="A79" s="371" t="s">
        <v>271</v>
      </c>
      <c r="B79" s="372"/>
      <c r="C79" s="373"/>
      <c r="D79" s="373"/>
    </row>
    <row r="80" spans="1:13" ht="27" customHeight="1" x14ac:dyDescent="0.3">
      <c r="A80" s="374" t="s">
        <v>272</v>
      </c>
      <c r="B80" s="406"/>
      <c r="C80" s="373"/>
      <c r="D80" s="373"/>
    </row>
    <row r="81" spans="1:4" ht="15" customHeight="1" x14ac:dyDescent="0.3">
      <c r="A81" s="344"/>
      <c r="B81" s="344"/>
      <c r="C81" s="373"/>
      <c r="D81" s="373"/>
    </row>
    <row r="82" spans="1:4" ht="15" customHeight="1" x14ac:dyDescent="0.3">
      <c r="A82" s="344"/>
      <c r="B82" s="344"/>
      <c r="C82" s="344"/>
      <c r="D82" s="344"/>
    </row>
    <row r="83" spans="1:4" ht="15" customHeight="1" x14ac:dyDescent="0.3">
      <c r="A83" s="344"/>
      <c r="B83" s="344"/>
      <c r="C83" s="344"/>
      <c r="D83" s="344"/>
    </row>
    <row r="84" spans="1:4" x14ac:dyDescent="0.3">
      <c r="A84" s="344"/>
      <c r="B84" s="344"/>
      <c r="C84" s="344"/>
      <c r="D84" s="344"/>
    </row>
    <row r="86" spans="1:4" x14ac:dyDescent="0.3">
      <c r="B86" s="375"/>
    </row>
    <row r="87" spans="1:4" x14ac:dyDescent="0.3">
      <c r="B87" s="376"/>
    </row>
    <row r="90" spans="1:4" ht="16.5" customHeight="1" x14ac:dyDescent="0.3"/>
    <row r="91" spans="1:4" ht="15" customHeight="1" x14ac:dyDescent="0.3">
      <c r="B91" s="377"/>
    </row>
    <row r="92" spans="1:4" ht="30" hidden="1" customHeight="1" x14ac:dyDescent="0.3">
      <c r="B92" s="378"/>
    </row>
    <row r="93" spans="1:4" hidden="1" x14ac:dyDescent="0.3"/>
    <row r="94" spans="1:4" hidden="1" x14ac:dyDescent="0.3"/>
    <row r="95" spans="1:4" hidden="1" x14ac:dyDescent="0.3">
      <c r="A95" s="350" t="s">
        <v>192</v>
      </c>
    </row>
    <row r="96" spans="1:4" hidden="1" x14ac:dyDescent="0.3">
      <c r="A96" s="350" t="s">
        <v>189</v>
      </c>
      <c r="B96" s="378"/>
    </row>
    <row r="97" spans="1:2" ht="12" customHeight="1" x14ac:dyDescent="0.3">
      <c r="A97" s="165" t="s">
        <v>131</v>
      </c>
    </row>
    <row r="98" spans="1:2" ht="20.100000000000001" customHeight="1" x14ac:dyDescent="0.3">
      <c r="A98" s="165" t="s">
        <v>130</v>
      </c>
    </row>
    <row r="99" spans="1:2" ht="20.399999999999999" customHeight="1" x14ac:dyDescent="0.3">
      <c r="A99" s="165" t="s">
        <v>129</v>
      </c>
    </row>
    <row r="100" spans="1:2" ht="23.1" customHeight="1" x14ac:dyDescent="0.3">
      <c r="A100" s="165" t="s">
        <v>128</v>
      </c>
    </row>
    <row r="101" spans="1:2" ht="24" customHeight="1" x14ac:dyDescent="0.3"/>
    <row r="102" spans="1:2" ht="27" customHeight="1" x14ac:dyDescent="0.3"/>
    <row r="103" spans="1:2" ht="24.9" customHeight="1" x14ac:dyDescent="0.3">
      <c r="A103" s="350" t="s">
        <v>127</v>
      </c>
    </row>
    <row r="104" spans="1:2" ht="34.5" customHeight="1" x14ac:dyDescent="0.3">
      <c r="A104" s="350" t="s">
        <v>398</v>
      </c>
    </row>
    <row r="105" spans="1:2" ht="27.9" customHeight="1" x14ac:dyDescent="0.3">
      <c r="A105" s="350" t="s">
        <v>298</v>
      </c>
    </row>
    <row r="106" spans="1:2" ht="28.5" customHeight="1" x14ac:dyDescent="0.3"/>
    <row r="107" spans="1:2" ht="33.9" customHeight="1" x14ac:dyDescent="0.3">
      <c r="A107" s="350" t="s">
        <v>273</v>
      </c>
      <c r="B107" s="412"/>
    </row>
    <row r="108" spans="1:2" ht="19.5" customHeight="1" x14ac:dyDescent="0.3">
      <c r="A108" s="350" t="s">
        <v>126</v>
      </c>
      <c r="B108" s="412"/>
    </row>
    <row r="109" spans="1:2" ht="35.1" customHeight="1" x14ac:dyDescent="0.3">
      <c r="A109" s="350" t="s">
        <v>125</v>
      </c>
      <c r="B109" s="412"/>
    </row>
    <row r="110" spans="1:2" ht="53.1" customHeight="1" x14ac:dyDescent="0.3">
      <c r="A110" s="379" t="s">
        <v>278</v>
      </c>
      <c r="B110" s="412"/>
    </row>
    <row r="111" spans="1:2" ht="42" customHeight="1" x14ac:dyDescent="0.3">
      <c r="A111" s="379" t="s">
        <v>279</v>
      </c>
      <c r="B111" s="412"/>
    </row>
    <row r="112" spans="1:2" ht="38.4" customHeight="1" x14ac:dyDescent="0.3">
      <c r="A112" s="379" t="s">
        <v>280</v>
      </c>
      <c r="B112" s="412"/>
    </row>
    <row r="113" spans="1:2" ht="44.4" customHeight="1" x14ac:dyDescent="0.3">
      <c r="A113" s="379" t="s">
        <v>281</v>
      </c>
      <c r="B113" s="412"/>
    </row>
    <row r="114" spans="1:2" ht="42" customHeight="1" x14ac:dyDescent="0.3">
      <c r="A114" s="379" t="s">
        <v>282</v>
      </c>
      <c r="B114" s="412"/>
    </row>
    <row r="115" spans="1:2" ht="48.9" customHeight="1" x14ac:dyDescent="0.3">
      <c r="A115" s="379" t="s">
        <v>283</v>
      </c>
      <c r="B115" s="412"/>
    </row>
    <row r="116" spans="1:2" ht="28.5" customHeight="1" x14ac:dyDescent="0.3">
      <c r="A116" s="379" t="s">
        <v>284</v>
      </c>
      <c r="B116" s="412"/>
    </row>
    <row r="117" spans="1:2" ht="14.1" customHeight="1" x14ac:dyDescent="0.3">
      <c r="A117" s="379" t="s">
        <v>285</v>
      </c>
      <c r="B117" s="412"/>
    </row>
    <row r="118" spans="1:2" ht="30" customHeight="1" x14ac:dyDescent="0.3">
      <c r="A118" s="379" t="s">
        <v>286</v>
      </c>
      <c r="B118" s="412"/>
    </row>
    <row r="119" spans="1:2" ht="36.6" customHeight="1" x14ac:dyDescent="0.3">
      <c r="A119" s="433" t="s">
        <v>300</v>
      </c>
      <c r="B119" s="411"/>
    </row>
    <row r="120" spans="1:2" ht="33.6" customHeight="1" x14ac:dyDescent="0.3">
      <c r="B120" s="411"/>
    </row>
    <row r="121" spans="1:2" ht="50.1" customHeight="1" x14ac:dyDescent="0.3">
      <c r="B121" s="411"/>
    </row>
    <row r="122" spans="1:2" x14ac:dyDescent="0.3">
      <c r="B122" s="411"/>
    </row>
    <row r="123" spans="1:2" x14ac:dyDescent="0.3">
      <c r="B123" s="411"/>
    </row>
    <row r="124" spans="1:2" x14ac:dyDescent="0.3">
      <c r="B124" s="411"/>
    </row>
    <row r="125" spans="1:2" x14ac:dyDescent="0.3">
      <c r="B125" s="411"/>
    </row>
    <row r="126" spans="1:2" x14ac:dyDescent="0.3">
      <c r="B126" s="411"/>
    </row>
    <row r="127" spans="1:2" x14ac:dyDescent="0.3">
      <c r="B127" s="411"/>
    </row>
    <row r="128" spans="1:2" x14ac:dyDescent="0.3">
      <c r="B128" s="412"/>
    </row>
    <row r="129" spans="2:2" x14ac:dyDescent="0.3">
      <c r="B129" s="412"/>
    </row>
    <row r="130" spans="2:2" x14ac:dyDescent="0.3">
      <c r="B130" s="412"/>
    </row>
    <row r="131" spans="2:2" x14ac:dyDescent="0.3">
      <c r="B131" s="412"/>
    </row>
    <row r="132" spans="2:2" x14ac:dyDescent="0.3">
      <c r="B132" s="412"/>
    </row>
    <row r="133" spans="2:2" x14ac:dyDescent="0.3">
      <c r="B133" s="412"/>
    </row>
    <row r="134" spans="2:2" x14ac:dyDescent="0.3">
      <c r="B134" s="412"/>
    </row>
    <row r="135" spans="2:2" x14ac:dyDescent="0.3">
      <c r="B135" s="412"/>
    </row>
    <row r="136" spans="2:2" x14ac:dyDescent="0.3">
      <c r="B136" s="412"/>
    </row>
    <row r="137" spans="2:2" x14ac:dyDescent="0.3">
      <c r="B137" s="412"/>
    </row>
    <row r="138" spans="2:2" x14ac:dyDescent="0.3">
      <c r="B138" s="412"/>
    </row>
    <row r="139" spans="2:2" x14ac:dyDescent="0.3">
      <c r="B139" s="412"/>
    </row>
    <row r="140" spans="2:2" x14ac:dyDescent="0.3">
      <c r="B140" s="412"/>
    </row>
    <row r="141" spans="2:2" x14ac:dyDescent="0.3">
      <c r="B141" s="412"/>
    </row>
    <row r="142" spans="2:2" x14ac:dyDescent="0.3">
      <c r="B142" s="412"/>
    </row>
    <row r="143" spans="2:2" x14ac:dyDescent="0.3">
      <c r="B143" s="412"/>
    </row>
    <row r="144" spans="2:2" x14ac:dyDescent="0.3">
      <c r="B144" s="412"/>
    </row>
    <row r="145" spans="2:2" x14ac:dyDescent="0.3">
      <c r="B145" s="412"/>
    </row>
    <row r="146" spans="2:2" x14ac:dyDescent="0.3">
      <c r="B146" s="412"/>
    </row>
    <row r="147" spans="2:2" x14ac:dyDescent="0.3">
      <c r="B147" s="412"/>
    </row>
    <row r="148" spans="2:2" x14ac:dyDescent="0.3">
      <c r="B148" s="412"/>
    </row>
    <row r="149" spans="2:2" x14ac:dyDescent="0.3">
      <c r="B149" s="412"/>
    </row>
    <row r="150" spans="2:2" x14ac:dyDescent="0.3">
      <c r="B150" s="412"/>
    </row>
    <row r="151" spans="2:2" x14ac:dyDescent="0.3">
      <c r="B151" s="412"/>
    </row>
    <row r="152" spans="2:2" x14ac:dyDescent="0.3">
      <c r="B152" s="414"/>
    </row>
    <row r="153" spans="2:2" x14ac:dyDescent="0.3">
      <c r="B153" s="414"/>
    </row>
    <row r="154" spans="2:2" x14ac:dyDescent="0.3">
      <c r="B154" s="411"/>
    </row>
    <row r="155" spans="2:2" x14ac:dyDescent="0.3">
      <c r="B155" s="411"/>
    </row>
    <row r="156" spans="2:2" x14ac:dyDescent="0.3">
      <c r="B156" s="413"/>
    </row>
  </sheetData>
  <sheetProtection deleteRows="0"/>
  <conditionalFormatting sqref="B86">
    <cfRule type="expression" dxfId="95" priority="1">
      <formula>$G$2</formula>
    </cfRule>
  </conditionalFormatting>
  <dataValidations count="5">
    <dataValidation type="list" allowBlank="1" showInputMessage="1" showErrorMessage="1" sqref="B80" xr:uid="{00000000-0002-0000-0300-000000000000}">
      <formula1>$A$95:$A$96</formula1>
    </dataValidation>
    <dataValidation type="list" allowBlank="1" showInputMessage="1" showErrorMessage="1" sqref="D43:D46 D7 D50:D65 D30:D39 D11:D26" xr:uid="{00000000-0002-0000-0300-000001000000}">
      <formula1>$A$107:$A$119</formula1>
    </dataValidation>
    <dataValidation type="list" allowBlank="1" showInputMessage="1" showErrorMessage="1" sqref="D42 D49" xr:uid="{00000000-0002-0000-0300-000002000000}">
      <formula1>$A$107:$A$111</formula1>
    </dataValidation>
    <dataValidation type="list" allowBlank="1" showInputMessage="1" showErrorMessage="1" sqref="G3" xr:uid="{00000000-0002-0000-0300-000003000000}">
      <formula1>$A$103:$A$105</formula1>
    </dataValidation>
    <dataValidation type="list" allowBlank="1" showInputMessage="1" showErrorMessage="1" sqref="G2" xr:uid="{00000000-0002-0000-0300-000004000000}">
      <formula1>$A$97:$A$100</formula1>
    </dataValidation>
  </dataValidation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B050"/>
  </sheetPr>
  <dimension ref="A1:I29"/>
  <sheetViews>
    <sheetView topLeftCell="A16" zoomScale="90" zoomScaleNormal="90" workbookViewId="0">
      <selection activeCell="B6" sqref="B6"/>
    </sheetView>
  </sheetViews>
  <sheetFormatPr defaultColWidth="9.33203125" defaultRowHeight="14.4" x14ac:dyDescent="0.3"/>
  <cols>
    <col min="1" max="1" width="29.33203125" style="266" customWidth="1"/>
    <col min="2" max="2" width="13.6640625" style="266" customWidth="1"/>
    <col min="3" max="3" width="15.33203125" style="266" customWidth="1"/>
    <col min="4" max="4" width="11.33203125" style="266" customWidth="1"/>
    <col min="5" max="5" width="15.44140625" style="266" customWidth="1"/>
    <col min="6" max="6" width="16.33203125" style="266" customWidth="1"/>
    <col min="7" max="7" width="17.33203125" style="266" customWidth="1"/>
    <col min="8" max="8" width="9.33203125" style="266"/>
    <col min="9" max="9" width="13.6640625" style="266" customWidth="1"/>
    <col min="10" max="16384" width="9.33203125" style="266"/>
  </cols>
  <sheetData>
    <row r="1" spans="1:9" ht="18.600000000000001" thickBot="1" x14ac:dyDescent="0.35">
      <c r="A1" s="662" t="s">
        <v>265</v>
      </c>
      <c r="B1" s="663"/>
      <c r="C1" s="663"/>
      <c r="D1" s="663"/>
      <c r="E1" s="663"/>
      <c r="F1" s="663"/>
      <c r="G1" s="664"/>
    </row>
    <row r="2" spans="1:9" ht="152.25" customHeight="1" thickBot="1" x14ac:dyDescent="0.35">
      <c r="A2" s="665" t="s">
        <v>366</v>
      </c>
      <c r="B2" s="666"/>
      <c r="C2" s="666"/>
      <c r="D2" s="666"/>
      <c r="E2" s="666"/>
      <c r="F2" s="666"/>
      <c r="G2" s="667"/>
      <c r="H2" s="283"/>
    </row>
    <row r="3" spans="1:9" ht="46.8" x14ac:dyDescent="0.3">
      <c r="A3" s="282" t="s">
        <v>208</v>
      </c>
      <c r="B3" s="281" t="s">
        <v>207</v>
      </c>
      <c r="C3" s="281" t="s">
        <v>206</v>
      </c>
      <c r="D3" s="278" t="s">
        <v>205</v>
      </c>
      <c r="E3" s="280" t="s">
        <v>431</v>
      </c>
      <c r="F3" s="279" t="s">
        <v>204</v>
      </c>
      <c r="G3" s="278" t="s">
        <v>203</v>
      </c>
      <c r="H3" s="334"/>
      <c r="I3" s="335"/>
    </row>
    <row r="4" spans="1:9" ht="15.6" customHeight="1" x14ac:dyDescent="0.3">
      <c r="A4" s="277" t="s">
        <v>202</v>
      </c>
      <c r="B4" s="274" t="s">
        <v>191</v>
      </c>
      <c r="C4" s="274" t="s">
        <v>171</v>
      </c>
      <c r="D4" s="274" t="s">
        <v>189</v>
      </c>
      <c r="E4" s="337"/>
      <c r="F4" s="339">
        <v>71520</v>
      </c>
      <c r="G4" s="273">
        <f t="shared" ref="G4" ca="1" si="0">IFERROR(F4/$G$15,0)</f>
        <v>0.8</v>
      </c>
    </row>
    <row r="5" spans="1:9" x14ac:dyDescent="0.3">
      <c r="A5" s="276" t="s">
        <v>409</v>
      </c>
      <c r="B5" s="274" t="s">
        <v>188</v>
      </c>
      <c r="C5" s="274" t="s">
        <v>187</v>
      </c>
      <c r="D5" s="274" t="s">
        <v>192</v>
      </c>
      <c r="E5" s="582" t="s">
        <v>432</v>
      </c>
      <c r="F5" s="339">
        <v>17880</v>
      </c>
      <c r="G5" s="273">
        <f t="shared" ref="G5:G12" ca="1" si="1">IFERROR(F5/$G$15,0)</f>
        <v>0.2</v>
      </c>
    </row>
    <row r="6" spans="1:9" ht="28.8" x14ac:dyDescent="0.3">
      <c r="A6" s="275" t="s">
        <v>201</v>
      </c>
      <c r="B6" s="274"/>
      <c r="C6" s="274"/>
      <c r="D6" s="274"/>
      <c r="E6" s="337"/>
      <c r="F6" s="339"/>
      <c r="G6" s="273">
        <f t="shared" ca="1" si="1"/>
        <v>0</v>
      </c>
    </row>
    <row r="7" spans="1:9" ht="29.1" customHeight="1" x14ac:dyDescent="0.3">
      <c r="A7" s="275" t="s">
        <v>201</v>
      </c>
      <c r="B7" s="274"/>
      <c r="C7" s="274"/>
      <c r="D7" s="274"/>
      <c r="E7" s="337"/>
      <c r="F7" s="340"/>
      <c r="G7" s="273">
        <f t="shared" ca="1" si="1"/>
        <v>0</v>
      </c>
    </row>
    <row r="8" spans="1:9" ht="28.8" x14ac:dyDescent="0.3">
      <c r="A8" s="275" t="s">
        <v>201</v>
      </c>
      <c r="B8" s="274"/>
      <c r="C8" s="274"/>
      <c r="D8" s="274"/>
      <c r="E8" s="337"/>
      <c r="F8" s="340"/>
      <c r="G8" s="273">
        <f t="shared" ca="1" si="1"/>
        <v>0</v>
      </c>
    </row>
    <row r="9" spans="1:9" ht="29.1" customHeight="1" x14ac:dyDescent="0.3">
      <c r="A9" s="275" t="s">
        <v>201</v>
      </c>
      <c r="B9" s="274"/>
      <c r="C9" s="274"/>
      <c r="D9" s="274"/>
      <c r="E9" s="337"/>
      <c r="F9" s="340"/>
      <c r="G9" s="273">
        <f t="shared" ca="1" si="1"/>
        <v>0</v>
      </c>
    </row>
    <row r="10" spans="1:9" ht="28.8" x14ac:dyDescent="0.3">
      <c r="A10" s="275" t="s">
        <v>201</v>
      </c>
      <c r="B10" s="274"/>
      <c r="C10" s="274"/>
      <c r="D10" s="274"/>
      <c r="E10" s="337"/>
      <c r="F10" s="340"/>
      <c r="G10" s="273">
        <f t="shared" ca="1" si="1"/>
        <v>0</v>
      </c>
    </row>
    <row r="11" spans="1:9" ht="29.4" thickBot="1" x14ac:dyDescent="0.35">
      <c r="A11" s="275" t="s">
        <v>201</v>
      </c>
      <c r="B11" s="274"/>
      <c r="C11" s="274"/>
      <c r="D11" s="274"/>
      <c r="E11" s="338"/>
      <c r="F11" s="341"/>
      <c r="G11" s="273">
        <f t="shared" ca="1" si="1"/>
        <v>0</v>
      </c>
    </row>
    <row r="12" spans="1:9" ht="15.6" x14ac:dyDescent="0.3">
      <c r="A12" s="668" t="s">
        <v>200</v>
      </c>
      <c r="B12" s="669"/>
      <c r="C12" s="669"/>
      <c r="D12" s="669"/>
      <c r="E12" s="670"/>
      <c r="F12" s="671">
        <f ca="1">SUM(F4:OFFSET(F12,-1,0))</f>
        <v>89400</v>
      </c>
      <c r="G12" s="680">
        <f t="shared" ca="1" si="1"/>
        <v>1</v>
      </c>
    </row>
    <row r="13" spans="1:9" ht="15" customHeight="1" thickBot="1" x14ac:dyDescent="0.35">
      <c r="A13" s="673" t="s">
        <v>275</v>
      </c>
      <c r="B13" s="674"/>
      <c r="C13" s="674"/>
      <c r="D13" s="674"/>
      <c r="E13" s="675"/>
      <c r="F13" s="672"/>
      <c r="G13" s="681"/>
    </row>
    <row r="14" spans="1:9" ht="15" thickBot="1" x14ac:dyDescent="0.35"/>
    <row r="15" spans="1:9" ht="21" x14ac:dyDescent="0.35">
      <c r="E15" s="676" t="s">
        <v>199</v>
      </c>
      <c r="F15" s="677"/>
      <c r="G15" s="272">
        <f ca="1">'Budget - Work Plan'!G67</f>
        <v>89400</v>
      </c>
    </row>
    <row r="16" spans="1:9" ht="21.6" thickBot="1" x14ac:dyDescent="0.4">
      <c r="E16" s="678" t="s">
        <v>198</v>
      </c>
      <c r="F16" s="679"/>
      <c r="G16" s="271">
        <f ca="1">'Budget - Work Plan'!G69</f>
        <v>89400</v>
      </c>
    </row>
    <row r="18" spans="1:7" ht="54" customHeight="1" x14ac:dyDescent="0.3">
      <c r="A18" s="269"/>
      <c r="B18" s="269"/>
      <c r="C18" s="270"/>
      <c r="D18" s="661" t="s">
        <v>197</v>
      </c>
      <c r="E18" s="661"/>
      <c r="F18" s="661"/>
      <c r="G18" s="661"/>
    </row>
    <row r="19" spans="1:7" x14ac:dyDescent="0.3">
      <c r="A19" s="267"/>
      <c r="B19" s="267"/>
    </row>
    <row r="20" spans="1:7" x14ac:dyDescent="0.3">
      <c r="A20" s="267"/>
      <c r="B20" s="267"/>
    </row>
    <row r="21" spans="1:7" ht="30" customHeight="1" x14ac:dyDescent="0.3">
      <c r="A21" s="267"/>
      <c r="B21" s="267"/>
    </row>
    <row r="22" spans="1:7" x14ac:dyDescent="0.3">
      <c r="A22" s="267"/>
      <c r="B22" s="267"/>
    </row>
    <row r="23" spans="1:7" x14ac:dyDescent="0.3">
      <c r="A23" s="267"/>
      <c r="B23" s="267"/>
    </row>
    <row r="24" spans="1:7" x14ac:dyDescent="0.3">
      <c r="A24" s="269" t="s">
        <v>196</v>
      </c>
      <c r="B24" s="269" t="s">
        <v>195</v>
      </c>
    </row>
    <row r="25" spans="1:7" x14ac:dyDescent="0.3">
      <c r="A25" s="267" t="s">
        <v>194</v>
      </c>
      <c r="B25" s="267" t="s">
        <v>193</v>
      </c>
      <c r="C25" s="268" t="s">
        <v>192</v>
      </c>
    </row>
    <row r="26" spans="1:7" x14ac:dyDescent="0.3">
      <c r="A26" s="267" t="s">
        <v>191</v>
      </c>
      <c r="B26" s="267" t="s">
        <v>190</v>
      </c>
      <c r="C26" s="268" t="s">
        <v>189</v>
      </c>
    </row>
    <row r="27" spans="1:7" x14ac:dyDescent="0.3">
      <c r="A27" s="267" t="s">
        <v>188</v>
      </c>
      <c r="B27" s="267" t="s">
        <v>187</v>
      </c>
    </row>
    <row r="28" spans="1:7" x14ac:dyDescent="0.3">
      <c r="A28" s="267" t="s">
        <v>186</v>
      </c>
      <c r="B28" s="267" t="s">
        <v>185</v>
      </c>
    </row>
    <row r="29" spans="1:7" x14ac:dyDescent="0.3">
      <c r="B29" s="267" t="s">
        <v>171</v>
      </c>
    </row>
  </sheetData>
  <mergeCells count="9">
    <mergeCell ref="D18:G18"/>
    <mergeCell ref="A1:G1"/>
    <mergeCell ref="A2:G2"/>
    <mergeCell ref="A12:E12"/>
    <mergeCell ref="F12:F13"/>
    <mergeCell ref="A13:E13"/>
    <mergeCell ref="E15:F15"/>
    <mergeCell ref="E16:F16"/>
    <mergeCell ref="G12:G13"/>
  </mergeCells>
  <dataValidations count="4">
    <dataValidation operator="lessThanOrEqual" allowBlank="1" showInputMessage="1" showErrorMessage="1" errorTitle="Error:" sqref="F4" xr:uid="{00000000-0002-0000-0400-000000000000}"/>
    <dataValidation type="list" allowBlank="1" showInputMessage="1" showErrorMessage="1" sqref="D4:D11" xr:uid="{00000000-0002-0000-0400-000001000000}">
      <formula1>$C$25:$C$26</formula1>
    </dataValidation>
    <dataValidation type="list" allowBlank="1" showInputMessage="1" showErrorMessage="1" sqref="C4:C11" xr:uid="{00000000-0002-0000-0400-000002000000}">
      <formula1>$B$25:$B$29</formula1>
    </dataValidation>
    <dataValidation type="list" allowBlank="1" showInputMessage="1" showErrorMessage="1" sqref="B4:B11" xr:uid="{00000000-0002-0000-0400-000003000000}">
      <formula1>$A$25:$A$28</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4.9989318521683403E-2"/>
  </sheetPr>
  <dimension ref="A1:F12"/>
  <sheetViews>
    <sheetView zoomScaleNormal="100" workbookViewId="0">
      <selection sqref="A1:F1"/>
    </sheetView>
  </sheetViews>
  <sheetFormatPr defaultRowHeight="14.4" x14ac:dyDescent="0.3"/>
  <cols>
    <col min="1" max="1" width="15.6640625" customWidth="1"/>
    <col min="2" max="2" width="12.33203125" customWidth="1"/>
    <col min="3" max="3" width="50.44140625" customWidth="1"/>
    <col min="4" max="5" width="14.6640625" customWidth="1"/>
    <col min="6" max="6" width="15.5546875" customWidth="1"/>
  </cols>
  <sheetData>
    <row r="1" spans="1:6" ht="18.45" customHeight="1" x14ac:dyDescent="0.3">
      <c r="A1" s="687" t="s">
        <v>274</v>
      </c>
      <c r="B1" s="688"/>
      <c r="C1" s="688"/>
      <c r="D1" s="688"/>
      <c r="E1" s="688"/>
      <c r="F1" s="688"/>
    </row>
    <row r="2" spans="1:6" ht="43.5" customHeight="1" x14ac:dyDescent="0.3">
      <c r="A2" s="692" t="s">
        <v>184</v>
      </c>
      <c r="B2" s="693"/>
      <c r="C2" s="288" t="s">
        <v>210</v>
      </c>
      <c r="D2" s="696" t="s">
        <v>429</v>
      </c>
      <c r="E2" s="689" t="s">
        <v>430</v>
      </c>
      <c r="F2" s="691" t="s">
        <v>209</v>
      </c>
    </row>
    <row r="3" spans="1:6" ht="29.4" thickBot="1" x14ac:dyDescent="0.35">
      <c r="A3" s="694"/>
      <c r="B3" s="695"/>
      <c r="C3" s="425" t="s">
        <v>297</v>
      </c>
      <c r="D3" s="697"/>
      <c r="E3" s="690"/>
      <c r="F3" s="691"/>
    </row>
    <row r="4" spans="1:6" ht="43.5" customHeight="1" x14ac:dyDescent="0.3">
      <c r="A4" s="685" t="str">
        <f>'Budget - Work Plan'!A5</f>
        <v>Milestone 1: Draft Application to FCM.</v>
      </c>
      <c r="B4" s="686"/>
      <c r="C4" s="415" t="str">
        <f>'Budget - Work Plan'!A6</f>
        <v xml:space="preserve">Milestone description: Costs to write the GMF application incurred up to 90 days prior to application receipt date. </v>
      </c>
      <c r="D4" s="579">
        <f>'Budget - Work Plan'!B5</f>
        <v>44119</v>
      </c>
      <c r="E4" s="416">
        <f>'Budget - Work Plan'!C5</f>
        <v>44133</v>
      </c>
      <c r="F4" s="417">
        <f ca="1">'Budget - Work Plan'!G8</f>
        <v>3500</v>
      </c>
    </row>
    <row r="5" spans="1:6" ht="43.5" customHeight="1" x14ac:dyDescent="0.3">
      <c r="A5" s="682" t="str">
        <f>'Budget - Work Plan'!A9</f>
        <v>Milestone 2: Set Up Project Administration.</v>
      </c>
      <c r="B5" s="683"/>
      <c r="C5" s="421" t="str">
        <f>'Budget - Work Plan'!A10</f>
        <v>Milestone description: Implement Team workplan, timeline, and support system needed to develop a professionally prepared draft Feasibility Study.</v>
      </c>
      <c r="D5" s="580">
        <f>'Budget - Work Plan'!B9</f>
        <v>44335</v>
      </c>
      <c r="E5" s="423">
        <f>'Budget - Work Plan'!C9</f>
        <v>44742</v>
      </c>
      <c r="F5" s="424">
        <f ca="1">'Budget - Work Plan'!G27</f>
        <v>85000</v>
      </c>
    </row>
    <row r="6" spans="1:6" ht="43.5" customHeight="1" x14ac:dyDescent="0.3">
      <c r="A6" s="685" t="str">
        <f>'Budget - Work Plan'!A28</f>
        <v>Milestone 3: Public and Peer Consultation.</v>
      </c>
      <c r="B6" s="686"/>
      <c r="C6" s="418" t="str">
        <f>'Budget - Work Plan'!A29</f>
        <v>Milestone description: Public input and sharing with peer organizations and stakeholders on the financing  strategies coaleses around one or two options.</v>
      </c>
      <c r="D6" s="581">
        <f>'Budget - Work Plan'!B28</f>
        <v>44697</v>
      </c>
      <c r="E6" s="420">
        <f>'Budget - Work Plan'!C28</f>
        <v>44813</v>
      </c>
      <c r="F6" s="417">
        <f ca="1">'Budget - Work Plan'!G40</f>
        <v>750</v>
      </c>
    </row>
    <row r="7" spans="1:6" ht="43.5" customHeight="1" x14ac:dyDescent="0.3">
      <c r="A7" s="682" t="str">
        <f>'Budget - Work Plan'!A41</f>
        <v>Milestone 4: Council Approval.</v>
      </c>
      <c r="B7" s="683"/>
      <c r="C7" s="421" t="str">
        <f>'Budget - Work Plan'!A42</f>
        <v>Milestone description: Steps to achieve Council approval.</v>
      </c>
      <c r="D7" s="580">
        <f>'Budget - Work Plan'!B41</f>
        <v>44813</v>
      </c>
      <c r="E7" s="423">
        <f>'Budget - Work Plan'!C41</f>
        <v>44830</v>
      </c>
      <c r="F7" s="424">
        <f>'Budget - Work Plan'!G47</f>
        <v>205</v>
      </c>
    </row>
    <row r="8" spans="1:6" ht="43.5" customHeight="1" x14ac:dyDescent="0.3">
      <c r="A8" s="685"/>
      <c r="B8" s="686"/>
      <c r="C8" s="418"/>
      <c r="D8" s="419"/>
      <c r="E8" s="420"/>
      <c r="F8" s="417">
        <v>0</v>
      </c>
    </row>
    <row r="9" spans="1:6" ht="43.5" customHeight="1" x14ac:dyDescent="0.3">
      <c r="A9" s="682"/>
      <c r="B9" s="683"/>
      <c r="C9" s="421"/>
      <c r="D9" s="422"/>
      <c r="E9" s="423"/>
      <c r="F9" s="424">
        <f ca="1">'Budget - Work Plan'!G66</f>
        <v>0</v>
      </c>
    </row>
    <row r="10" spans="1:6" x14ac:dyDescent="0.3">
      <c r="A10" s="287" t="s">
        <v>20</v>
      </c>
      <c r="B10" s="287"/>
      <c r="C10" s="287"/>
      <c r="D10" s="286"/>
      <c r="E10" s="286"/>
      <c r="F10" s="285">
        <f ca="1">SUM(F4:F9)</f>
        <v>89455</v>
      </c>
    </row>
    <row r="11" spans="1:6" x14ac:dyDescent="0.3">
      <c r="A11" s="284"/>
      <c r="B11" s="284"/>
      <c r="C11" s="284"/>
    </row>
    <row r="12" spans="1:6" ht="12" customHeight="1" x14ac:dyDescent="0.3">
      <c r="A12" s="684"/>
      <c r="B12" s="684"/>
      <c r="C12" s="684"/>
      <c r="D12" s="684"/>
      <c r="E12" s="684"/>
      <c r="F12" s="684"/>
    </row>
  </sheetData>
  <sheetProtection selectLockedCells="1" selectUnlockedCells="1"/>
  <mergeCells count="12">
    <mergeCell ref="A9:B9"/>
    <mergeCell ref="A12:F12"/>
    <mergeCell ref="A8:B8"/>
    <mergeCell ref="A1:F1"/>
    <mergeCell ref="A4:B4"/>
    <mergeCell ref="A5:B5"/>
    <mergeCell ref="A6:B6"/>
    <mergeCell ref="A7:B7"/>
    <mergeCell ref="E2:E3"/>
    <mergeCell ref="F2:F3"/>
    <mergeCell ref="A2:B3"/>
    <mergeCell ref="D2:D3"/>
  </mergeCells>
  <pageMargins left="0.7" right="0.7" top="0.75" bottom="0.75" header="0.3" footer="0.3"/>
  <pageSetup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FF0000"/>
  </sheetPr>
  <dimension ref="A1:J63"/>
  <sheetViews>
    <sheetView workbookViewId="0"/>
  </sheetViews>
  <sheetFormatPr defaultRowHeight="14.4" x14ac:dyDescent="0.3"/>
  <cols>
    <col min="1" max="1" width="2.6640625" customWidth="1"/>
    <col min="2" max="2" width="2.33203125" customWidth="1"/>
    <col min="3" max="3" width="21.5546875" customWidth="1"/>
    <col min="4" max="10" width="19.5546875" customWidth="1"/>
  </cols>
  <sheetData>
    <row r="1" spans="1:10" x14ac:dyDescent="0.3">
      <c r="A1" s="87" t="s">
        <v>260</v>
      </c>
      <c r="B1" s="7"/>
      <c r="C1" s="7"/>
      <c r="D1" s="7"/>
      <c r="E1" s="7"/>
      <c r="F1" s="7"/>
      <c r="G1" s="7"/>
      <c r="H1" s="7"/>
      <c r="I1" s="7"/>
      <c r="J1" s="7"/>
    </row>
    <row r="2" spans="1:10" s="11" customFormat="1" x14ac:dyDescent="0.3">
      <c r="A2" s="8"/>
      <c r="B2" s="9" t="s">
        <v>1</v>
      </c>
      <c r="C2" s="9"/>
      <c r="D2" s="8"/>
      <c r="E2" s="8"/>
      <c r="F2" s="8"/>
      <c r="G2" s="8"/>
      <c r="H2" s="8"/>
      <c r="I2" s="8"/>
      <c r="J2" s="8"/>
    </row>
    <row r="3" spans="1:10" s="11" customFormat="1" x14ac:dyDescent="0.3">
      <c r="C3" s="12" t="s">
        <v>2</v>
      </c>
    </row>
    <row r="4" spans="1:10" s="11" customFormat="1" ht="65.099999999999994" customHeight="1" x14ac:dyDescent="0.3">
      <c r="C4" s="650" t="s">
        <v>296</v>
      </c>
      <c r="D4" s="650"/>
      <c r="E4" s="650"/>
      <c r="F4" s="650"/>
      <c r="G4" s="650"/>
      <c r="H4" s="650"/>
      <c r="I4" s="650"/>
    </row>
    <row r="5" spans="1:10" s="11" customFormat="1" x14ac:dyDescent="0.3">
      <c r="C5" s="651" t="s">
        <v>3</v>
      </c>
      <c r="D5" s="651"/>
      <c r="E5" s="651"/>
      <c r="F5" s="651"/>
      <c r="G5" s="651"/>
      <c r="H5" s="651"/>
      <c r="I5" s="651"/>
    </row>
    <row r="6" spans="1:10" s="11" customFormat="1" ht="58.2" customHeight="1" x14ac:dyDescent="0.3">
      <c r="C6" s="650" t="s">
        <v>4</v>
      </c>
      <c r="D6" s="650"/>
      <c r="E6" s="650"/>
      <c r="F6" s="650"/>
      <c r="G6" s="650"/>
      <c r="H6" s="650"/>
      <c r="I6" s="650"/>
    </row>
    <row r="7" spans="1:10" s="11" customFormat="1" x14ac:dyDescent="0.3">
      <c r="C7" s="88"/>
      <c r="D7" s="37"/>
      <c r="E7" s="37"/>
      <c r="F7" s="37"/>
      <c r="G7" s="37"/>
      <c r="H7" s="37"/>
      <c r="I7" s="15"/>
    </row>
    <row r="8" spans="1:10" s="11" customFormat="1" ht="28.8" x14ac:dyDescent="0.3">
      <c r="C8" s="45" t="s">
        <v>5</v>
      </c>
      <c r="D8" s="47" t="s">
        <v>6</v>
      </c>
      <c r="E8" s="48" t="s">
        <v>7</v>
      </c>
      <c r="F8" s="46"/>
      <c r="G8" s="37"/>
      <c r="H8" s="37"/>
      <c r="I8" s="15"/>
    </row>
    <row r="9" spans="1:10" s="11" customFormat="1" x14ac:dyDescent="0.3">
      <c r="C9" s="15"/>
      <c r="D9" s="15"/>
      <c r="E9" s="15"/>
      <c r="F9" s="15"/>
      <c r="G9" s="15"/>
      <c r="H9" s="15"/>
      <c r="I9" s="15"/>
    </row>
    <row r="10" spans="1:10" x14ac:dyDescent="0.3">
      <c r="A10" s="9"/>
      <c r="B10" s="9" t="s">
        <v>8</v>
      </c>
      <c r="C10" s="9"/>
      <c r="D10" s="8"/>
      <c r="E10" s="8"/>
      <c r="F10" s="8"/>
      <c r="G10" s="8"/>
      <c r="H10" s="8"/>
      <c r="I10" s="8"/>
      <c r="J10" s="8"/>
    </row>
    <row r="11" spans="1:10" s="11" customFormat="1" x14ac:dyDescent="0.3">
      <c r="C11" s="12"/>
    </row>
    <row r="12" spans="1:10" x14ac:dyDescent="0.3">
      <c r="C12" s="148" t="s">
        <v>9</v>
      </c>
      <c r="D12" s="149"/>
      <c r="E12" s="148"/>
      <c r="F12" s="150" t="s">
        <v>10</v>
      </c>
      <c r="G12" s="6" t="s">
        <v>77</v>
      </c>
    </row>
    <row r="14" spans="1:10" s="23" customFormat="1" ht="28.8" x14ac:dyDescent="0.3">
      <c r="D14" s="24" t="s">
        <v>12</v>
      </c>
      <c r="E14" s="24" t="s">
        <v>13</v>
      </c>
      <c r="F14" s="24" t="s">
        <v>14</v>
      </c>
      <c r="I14" s="75"/>
    </row>
    <row r="15" spans="1:10" x14ac:dyDescent="0.3">
      <c r="C15" s="150" t="s">
        <v>15</v>
      </c>
      <c r="D15" s="20">
        <f>INDEX(GJ_of_energy[],MATCH($C15,GJ_of_energy[Energy source],0), MATCH(Jurisdiction, GJ_of_energy[#Headers],0))</f>
        <v>62.084366710573804</v>
      </c>
      <c r="E15" s="20">
        <f>INDEX(tCO2_per_hshld_by_source[],MATCH($C15,tCO2_per_hshld_by_source[Energy source],0), MATCH(Jurisdiction,tCO2_per_hshld_by_source[#Headers],0))</f>
        <v>3.6215880581168002E-2</v>
      </c>
      <c r="F15" s="21">
        <f>IFERROR(E15/D15,0)</f>
        <v>5.8333333333333251E-4</v>
      </c>
    </row>
    <row r="16" spans="1:10" x14ac:dyDescent="0.3">
      <c r="C16" s="150" t="s">
        <v>16</v>
      </c>
      <c r="D16" s="20">
        <f>INDEX(GJ_of_energy[],MATCH($C16,GJ_of_energy[Energy source],0), MATCH(Jurisdiction, GJ_of_energy[#Headers],0))</f>
        <v>42.857766762015302</v>
      </c>
      <c r="E16" s="20">
        <f>INDEX(tCO2_per_hshld_by_source[],MATCH($C16,tCO2_per_hshld_by_source[Energy source],0), MATCH(Jurisdiction,tCO2_per_hshld_by_source[#Headers],0))</f>
        <v>2.0834340080487799</v>
      </c>
      <c r="F16" s="21">
        <f>IFERROR(E16/D16,0)</f>
        <v>4.8612752494031505E-2</v>
      </c>
    </row>
    <row r="17" spans="1:10" x14ac:dyDescent="0.3">
      <c r="C17" s="150" t="s">
        <v>17</v>
      </c>
      <c r="D17" s="20">
        <f>INDEX(GJ_of_energy[],MATCH($C17,GJ_of_energy[Energy source],0), MATCH(Jurisdiction, GJ_of_energy[#Headers],0))</f>
        <v>0.22503332008324101</v>
      </c>
      <c r="E17" s="20">
        <f>INDEX(tCO2_per_hshld_by_source[],MATCH($C17,tCO2_per_hshld_by_source[Energy source],0), MATCH(Jurisdiction,tCO2_per_hshld_by_source[#Headers],0))</f>
        <v>1.5957267155620999E-2</v>
      </c>
      <c r="F17" s="21">
        <f t="shared" ref="F17:F19" si="0">IFERROR(E17/D17,0)</f>
        <v>7.0910686247344715E-2</v>
      </c>
    </row>
    <row r="18" spans="1:10" x14ac:dyDescent="0.3">
      <c r="C18" s="150" t="s">
        <v>18</v>
      </c>
      <c r="D18" s="20">
        <f>INDEX(GJ_of_energy[],MATCH($C18,GJ_of_energy[Energy source],0), MATCH(Jurisdiction, GJ_of_energy[#Headers],0))</f>
        <v>6.6241624513188997</v>
      </c>
      <c r="E18" s="20">
        <f>INDEX(tCO2_per_hshld_by_source[],MATCH($C18,tCO2_per_hshld_by_source[Energy source],0), MATCH(Jurisdiction,tCO2_per_hshld_by_source[#Headers],0))</f>
        <v>0.155550879052644</v>
      </c>
      <c r="F18" s="21">
        <f t="shared" si="0"/>
        <v>2.3482346665829903E-2</v>
      </c>
    </row>
    <row r="19" spans="1:10" x14ac:dyDescent="0.3">
      <c r="C19" s="150" t="s">
        <v>19</v>
      </c>
      <c r="D19" s="20">
        <f>INDEX(GJ_of_energy[],MATCH($C19,GJ_of_energy[Energy source],0), MATCH(Jurisdiction, GJ_of_energy[#Headers],0))</f>
        <v>0.32007025146595303</v>
      </c>
      <c r="E19" s="20">
        <f>INDEX(tCO2_per_hshld_by_source[],MATCH($C19,tCO2_per_hshld_by_source[Energy source],0), MATCH(Jurisdiction,tCO2_per_hshld_by_source[#Headers],0))</f>
        <v>1.9576360797395699E-2</v>
      </c>
      <c r="F19" s="21">
        <f t="shared" si="0"/>
        <v>6.1162700087665299E-2</v>
      </c>
    </row>
    <row r="20" spans="1:10" x14ac:dyDescent="0.3">
      <c r="C20" s="151" t="s">
        <v>20</v>
      </c>
      <c r="D20" s="22">
        <f>SUM(D15:D19)</f>
        <v>112.11139949545719</v>
      </c>
      <c r="E20" s="22">
        <f>SUM(E15:E19)</f>
        <v>2.3107343956356083</v>
      </c>
      <c r="F20" s="29">
        <f t="shared" ref="F20" si="1">E20/D20</f>
        <v>2.0611056556556859E-2</v>
      </c>
    </row>
    <row r="21" spans="1:10" x14ac:dyDescent="0.3">
      <c r="C21" s="1"/>
      <c r="D21" s="1"/>
      <c r="E21" s="1"/>
      <c r="F21" s="1"/>
      <c r="G21" s="1"/>
      <c r="H21" s="1"/>
      <c r="I21" s="1"/>
    </row>
    <row r="22" spans="1:10" x14ac:dyDescent="0.3">
      <c r="A22" s="8"/>
      <c r="B22" s="9" t="s">
        <v>21</v>
      </c>
      <c r="C22" s="9"/>
      <c r="D22" s="10"/>
      <c r="E22" s="10"/>
      <c r="F22" s="10"/>
      <c r="G22" s="10"/>
      <c r="H22" s="10"/>
      <c r="I22" s="10"/>
      <c r="J22" s="8"/>
    </row>
    <row r="23" spans="1:10" x14ac:dyDescent="0.3">
      <c r="C23" s="1"/>
      <c r="D23" s="1"/>
      <c r="E23" s="1"/>
      <c r="F23" s="1"/>
      <c r="G23" s="1"/>
      <c r="H23" s="1"/>
      <c r="I23" s="1"/>
      <c r="J23" s="1"/>
    </row>
    <row r="24" spans="1:10" ht="202.5" customHeight="1" x14ac:dyDescent="0.3">
      <c r="C24" s="649" t="s">
        <v>399</v>
      </c>
      <c r="D24" s="649"/>
      <c r="E24" s="649"/>
      <c r="F24" s="649"/>
      <c r="G24" s="649"/>
      <c r="H24" s="649"/>
      <c r="I24" s="649"/>
      <c r="J24" s="1"/>
    </row>
    <row r="25" spans="1:10" ht="59.7" customHeight="1" x14ac:dyDescent="0.3">
      <c r="C25" s="652" t="s">
        <v>261</v>
      </c>
      <c r="D25" s="652"/>
      <c r="E25" s="652"/>
      <c r="F25" s="652"/>
      <c r="G25" s="652"/>
      <c r="H25" s="652"/>
      <c r="I25" s="652"/>
      <c r="J25" s="1"/>
    </row>
    <row r="26" spans="1:10" ht="15" thickBot="1" x14ac:dyDescent="0.35">
      <c r="C26" s="39"/>
      <c r="D26" s="1"/>
      <c r="E26" s="1"/>
      <c r="F26" s="1"/>
      <c r="G26" s="1"/>
      <c r="H26" s="1"/>
      <c r="I26" s="1"/>
      <c r="J26" s="1"/>
    </row>
    <row r="27" spans="1:10" ht="15" thickBot="1" x14ac:dyDescent="0.35">
      <c r="C27" s="653" t="s">
        <v>22</v>
      </c>
      <c r="D27" s="654"/>
      <c r="E27" s="141">
        <v>20</v>
      </c>
      <c r="F27" s="1"/>
      <c r="G27" s="1"/>
      <c r="H27" s="1"/>
      <c r="I27" s="1"/>
      <c r="J27" s="1"/>
    </row>
    <row r="28" spans="1:10" ht="15" thickBot="1" x14ac:dyDescent="0.35">
      <c r="C28" s="1"/>
      <c r="D28" s="1"/>
      <c r="E28" s="1"/>
      <c r="F28" s="1"/>
      <c r="G28" s="1"/>
      <c r="H28" s="1"/>
      <c r="I28" s="1"/>
    </row>
    <row r="29" spans="1:10" ht="43.8" thickBot="1" x14ac:dyDescent="0.35">
      <c r="C29" s="3" t="s">
        <v>23</v>
      </c>
      <c r="D29" s="3" t="s">
        <v>24</v>
      </c>
      <c r="E29" s="3" t="s">
        <v>25</v>
      </c>
      <c r="F29" s="655" t="s">
        <v>26</v>
      </c>
      <c r="G29" s="655"/>
      <c r="H29" s="656"/>
    </row>
    <row r="30" spans="1:10" ht="15" thickBot="1" x14ac:dyDescent="0.35">
      <c r="C30" s="4" t="s">
        <v>27</v>
      </c>
      <c r="D30" s="4" t="s">
        <v>28</v>
      </c>
      <c r="E30" s="4" t="s">
        <v>29</v>
      </c>
      <c r="F30" s="657"/>
      <c r="G30" s="657"/>
      <c r="H30" s="658"/>
    </row>
    <row r="31" spans="1:10" x14ac:dyDescent="0.3">
      <c r="C31" s="55" t="s">
        <v>30</v>
      </c>
      <c r="D31" s="56"/>
      <c r="E31" s="56"/>
      <c r="F31" s="659"/>
      <c r="G31" s="659"/>
      <c r="H31" s="660"/>
    </row>
    <row r="32" spans="1:10" x14ac:dyDescent="0.3">
      <c r="C32" s="57" t="s">
        <v>31</v>
      </c>
      <c r="D32" s="13">
        <v>15</v>
      </c>
      <c r="E32" s="565">
        <f>Calculations2!G8*Calculations2!H8</f>
        <v>0.3338802101694916</v>
      </c>
      <c r="F32" s="698"/>
      <c r="G32" s="698"/>
      <c r="H32" s="699"/>
    </row>
    <row r="33" spans="1:10" x14ac:dyDescent="0.3">
      <c r="C33" s="58" t="s">
        <v>32</v>
      </c>
      <c r="D33" s="13">
        <v>5</v>
      </c>
      <c r="E33" s="565">
        <f>Calculations2!G9*Calculations2!H9</f>
        <v>0.15675630508474578</v>
      </c>
      <c r="F33" s="698"/>
      <c r="G33" s="698"/>
      <c r="H33" s="699"/>
    </row>
    <row r="34" spans="1:10" x14ac:dyDescent="0.3">
      <c r="C34" s="59" t="s">
        <v>33</v>
      </c>
      <c r="D34" s="17"/>
      <c r="E34" s="35"/>
      <c r="F34" s="702"/>
      <c r="G34" s="702"/>
      <c r="H34" s="703"/>
    </row>
    <row r="35" spans="1:10" x14ac:dyDescent="0.3">
      <c r="C35" s="60" t="s">
        <v>34</v>
      </c>
      <c r="D35" s="14">
        <v>0</v>
      </c>
      <c r="E35" s="36">
        <f>Calculations2!G20*Calculations2!H20</f>
        <v>0.20422527759224349</v>
      </c>
      <c r="F35" s="698"/>
      <c r="G35" s="698"/>
      <c r="H35" s="699"/>
    </row>
    <row r="36" spans="1:10" x14ac:dyDescent="0.3">
      <c r="C36" s="60" t="s">
        <v>35</v>
      </c>
      <c r="D36" s="14">
        <v>0</v>
      </c>
      <c r="E36" s="36">
        <f>Calculations2!G21*Calculations2!H21</f>
        <v>7.6190597578692509E-2</v>
      </c>
      <c r="F36" s="698"/>
      <c r="G36" s="698"/>
      <c r="H36" s="699"/>
    </row>
    <row r="37" spans="1:10" x14ac:dyDescent="0.3">
      <c r="C37" s="59" t="s">
        <v>36</v>
      </c>
      <c r="D37" s="17"/>
      <c r="E37" s="35"/>
      <c r="F37" s="702"/>
      <c r="G37" s="702"/>
      <c r="H37" s="703"/>
    </row>
    <row r="38" spans="1:10" ht="15" thickBot="1" x14ac:dyDescent="0.35">
      <c r="C38" s="61" t="s">
        <v>19</v>
      </c>
      <c r="D38" s="62"/>
      <c r="E38" s="63">
        <v>0</v>
      </c>
      <c r="F38" s="700"/>
      <c r="G38" s="700"/>
      <c r="H38" s="701"/>
    </row>
    <row r="39" spans="1:10" ht="15" thickBot="1" x14ac:dyDescent="0.35">
      <c r="C39" s="140"/>
      <c r="D39" s="142"/>
      <c r="E39" s="143"/>
      <c r="F39" s="144"/>
      <c r="G39" s="144"/>
      <c r="H39" s="144"/>
      <c r="I39" s="11"/>
    </row>
    <row r="40" spans="1:10" ht="15" customHeight="1" thickBot="1" x14ac:dyDescent="0.35">
      <c r="C40" s="646" t="s">
        <v>37</v>
      </c>
      <c r="D40" s="647"/>
      <c r="E40" s="648"/>
      <c r="F40" s="336" t="s">
        <v>267</v>
      </c>
      <c r="G40" s="1"/>
      <c r="H40" s="1"/>
      <c r="I40" s="1"/>
      <c r="J40" s="1"/>
    </row>
    <row r="41" spans="1:10" x14ac:dyDescent="0.3">
      <c r="C41" s="1"/>
      <c r="D41" s="1"/>
      <c r="E41" s="1"/>
      <c r="F41" s="1"/>
      <c r="G41" s="1"/>
      <c r="H41" s="1"/>
      <c r="I41" s="1"/>
    </row>
    <row r="42" spans="1:10" x14ac:dyDescent="0.3">
      <c r="A42" s="8"/>
      <c r="B42" s="9" t="s">
        <v>38</v>
      </c>
      <c r="C42" s="9"/>
      <c r="D42" s="10"/>
      <c r="E42" s="10"/>
      <c r="F42" s="10"/>
      <c r="G42" s="10"/>
      <c r="H42" s="10"/>
      <c r="I42" s="10"/>
      <c r="J42" s="8"/>
    </row>
    <row r="43" spans="1:10" ht="33" customHeight="1" x14ac:dyDescent="0.3">
      <c r="C43" s="649" t="s">
        <v>262</v>
      </c>
      <c r="D43" s="649"/>
      <c r="E43" s="649"/>
      <c r="F43" s="649"/>
      <c r="G43" s="649"/>
      <c r="H43" s="649"/>
      <c r="I43" s="649"/>
    </row>
    <row r="44" spans="1:10" ht="15" customHeight="1" thickBot="1" x14ac:dyDescent="0.35">
      <c r="C44" s="1"/>
      <c r="D44" s="1"/>
      <c r="E44" s="1"/>
      <c r="F44" s="1"/>
      <c r="G44" s="1"/>
    </row>
    <row r="45" spans="1:10" ht="43.2" x14ac:dyDescent="0.3">
      <c r="C45" s="3"/>
      <c r="D45" s="3" t="s">
        <v>39</v>
      </c>
      <c r="E45" s="3" t="s">
        <v>40</v>
      </c>
      <c r="F45" s="3" t="s">
        <v>41</v>
      </c>
      <c r="G45" s="3" t="s">
        <v>42</v>
      </c>
      <c r="H45" s="41" t="s">
        <v>43</v>
      </c>
      <c r="I45" s="3" t="s">
        <v>44</v>
      </c>
    </row>
    <row r="46" spans="1:10" ht="16.2" thickBot="1" x14ac:dyDescent="0.35">
      <c r="C46" s="4"/>
      <c r="D46" s="5" t="s">
        <v>45</v>
      </c>
      <c r="E46" s="5" t="s">
        <v>46</v>
      </c>
      <c r="F46" s="53" t="s">
        <v>45</v>
      </c>
      <c r="G46" s="53" t="s">
        <v>46</v>
      </c>
      <c r="H46" s="52" t="s">
        <v>29</v>
      </c>
      <c r="I46" s="53" t="s">
        <v>29</v>
      </c>
      <c r="J46" s="16"/>
    </row>
    <row r="47" spans="1:10" ht="15" thickBot="1" x14ac:dyDescent="0.35">
      <c r="C47" s="92" t="s">
        <v>47</v>
      </c>
      <c r="D47" s="93">
        <f>SUM(Calculations2!D30:D36)</f>
        <v>649.34750810302467</v>
      </c>
      <c r="E47" s="93">
        <f>SUM(Calculations2!E30:E36)</f>
        <v>12.435440473796072</v>
      </c>
      <c r="F47" s="94">
        <f>Total_Homes*D20</f>
        <v>2242.2279899091436</v>
      </c>
      <c r="G47" s="95">
        <f>Total_Homes*E20</f>
        <v>46.214687912712165</v>
      </c>
      <c r="H47" s="96">
        <f>IFERROR(D47/F47,0)</f>
        <v>0.28959923389830516</v>
      </c>
      <c r="I47" s="97">
        <f>IFERROR(E47/G47,0)</f>
        <v>0.26907983230966459</v>
      </c>
      <c r="J47" s="16"/>
    </row>
    <row r="48" spans="1:10" x14ac:dyDescent="0.3">
      <c r="J48" s="16"/>
    </row>
    <row r="49" spans="8:10" x14ac:dyDescent="0.3">
      <c r="J49" s="16"/>
    </row>
    <row r="50" spans="8:10" x14ac:dyDescent="0.3">
      <c r="J50" s="16"/>
    </row>
    <row r="51" spans="8:10" x14ac:dyDescent="0.3">
      <c r="J51" s="16"/>
    </row>
    <row r="52" spans="8:10" x14ac:dyDescent="0.3">
      <c r="J52" s="16"/>
    </row>
    <row r="53" spans="8:10" x14ac:dyDescent="0.3">
      <c r="J53" s="16"/>
    </row>
    <row r="54" spans="8:10" x14ac:dyDescent="0.3">
      <c r="J54" s="16"/>
    </row>
    <row r="55" spans="8:10" x14ac:dyDescent="0.3">
      <c r="J55" s="16"/>
    </row>
    <row r="56" spans="8:10" x14ac:dyDescent="0.3">
      <c r="H56" s="33"/>
      <c r="J56" s="16"/>
    </row>
    <row r="57" spans="8:10" x14ac:dyDescent="0.3">
      <c r="J57" s="16"/>
    </row>
    <row r="58" spans="8:10" x14ac:dyDescent="0.3">
      <c r="J58" s="16"/>
    </row>
    <row r="59" spans="8:10" x14ac:dyDescent="0.3">
      <c r="J59" s="16"/>
    </row>
    <row r="60" spans="8:10" x14ac:dyDescent="0.3">
      <c r="J60" s="16"/>
    </row>
    <row r="61" spans="8:10" x14ac:dyDescent="0.3">
      <c r="J61" s="16"/>
    </row>
    <row r="62" spans="8:10" x14ac:dyDescent="0.3">
      <c r="J62" s="16"/>
    </row>
    <row r="63" spans="8:10" x14ac:dyDescent="0.3">
      <c r="J63" s="16"/>
    </row>
  </sheetData>
  <mergeCells count="17">
    <mergeCell ref="F35:H35"/>
    <mergeCell ref="F36:H36"/>
    <mergeCell ref="C40:E40"/>
    <mergeCell ref="C43:I43"/>
    <mergeCell ref="C27:D27"/>
    <mergeCell ref="F29:H30"/>
    <mergeCell ref="F31:H31"/>
    <mergeCell ref="F32:H32"/>
    <mergeCell ref="F33:H33"/>
    <mergeCell ref="F38:H38"/>
    <mergeCell ref="F34:H34"/>
    <mergeCell ref="F37:H37"/>
    <mergeCell ref="C4:I4"/>
    <mergeCell ref="C6:I6"/>
    <mergeCell ref="C5:I5"/>
    <mergeCell ref="C24:I24"/>
    <mergeCell ref="C25:I25"/>
  </mergeCells>
  <phoneticPr fontId="9" type="noConversion"/>
  <dataValidations count="1">
    <dataValidation type="list" allowBlank="1" showInputMessage="1" showErrorMessage="1" sqref="F40" xr:uid="{00000000-0002-0000-0600-000000000000}">
      <formula1>"Yes, No"</formula1>
    </dataValidation>
  </dataValidation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Data!$E$5:$O$5</xm:f>
          </x14:formula1>
          <xm:sqref>G12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sheetPr>
  <dimension ref="A1:G161"/>
  <sheetViews>
    <sheetView zoomScale="80" zoomScaleNormal="80" workbookViewId="0">
      <pane ySplit="4" topLeftCell="A5" activePane="bottomLeft" state="frozen"/>
      <selection pane="bottomLeft"/>
    </sheetView>
  </sheetViews>
  <sheetFormatPr defaultColWidth="8.6640625" defaultRowHeight="14.4" x14ac:dyDescent="0.3"/>
  <cols>
    <col min="1" max="1" width="68.33203125" style="163" customWidth="1"/>
    <col min="2" max="2" width="16.44140625" style="163" customWidth="1"/>
    <col min="3" max="3" width="16.33203125" style="163" customWidth="1"/>
    <col min="4" max="4" width="34" style="163" customWidth="1"/>
    <col min="5" max="5" width="14.6640625" style="163" customWidth="1"/>
    <col min="6" max="6" width="15.109375" style="163" customWidth="1"/>
    <col min="7" max="7" width="16.33203125" style="163" customWidth="1"/>
    <col min="8" max="16384" width="8.6640625" style="163"/>
  </cols>
  <sheetData>
    <row r="1" spans="1:7" ht="18.600000000000001" thickBot="1" x14ac:dyDescent="0.35">
      <c r="A1" s="568" t="s">
        <v>263</v>
      </c>
      <c r="B1" s="241"/>
      <c r="C1" s="240"/>
      <c r="D1" s="240"/>
      <c r="E1" s="240"/>
      <c r="F1" s="240"/>
      <c r="G1" s="239"/>
    </row>
    <row r="2" spans="1:7" x14ac:dyDescent="0.3">
      <c r="A2" s="238" t="s">
        <v>168</v>
      </c>
      <c r="B2" s="704"/>
      <c r="C2" s="705"/>
      <c r="D2" s="706"/>
      <c r="E2" s="237" t="s">
        <v>167</v>
      </c>
      <c r="F2" s="236"/>
      <c r="G2" s="235"/>
    </row>
    <row r="3" spans="1:7" x14ac:dyDescent="0.3">
      <c r="A3" s="234" t="s">
        <v>166</v>
      </c>
      <c r="B3" s="707"/>
      <c r="C3" s="708"/>
      <c r="D3" s="709"/>
      <c r="E3" s="233" t="s">
        <v>165</v>
      </c>
      <c r="F3" s="232"/>
      <c r="G3" s="231"/>
    </row>
    <row r="4" spans="1:7" ht="25.2" customHeight="1" thickBot="1" x14ac:dyDescent="0.35">
      <c r="A4" s="230" t="s">
        <v>164</v>
      </c>
      <c r="B4" s="229" t="s">
        <v>163</v>
      </c>
      <c r="C4" s="229" t="s">
        <v>162</v>
      </c>
      <c r="D4" s="228" t="s">
        <v>161</v>
      </c>
      <c r="E4" s="227" t="s">
        <v>160</v>
      </c>
      <c r="F4" s="227" t="s">
        <v>159</v>
      </c>
      <c r="G4" s="226" t="s">
        <v>158</v>
      </c>
    </row>
    <row r="5" spans="1:7" ht="22.95" customHeight="1" thickBot="1" x14ac:dyDescent="0.35">
      <c r="A5" s="212" t="s">
        <v>157</v>
      </c>
      <c r="B5" s="211" t="s">
        <v>141</v>
      </c>
      <c r="C5" s="211" t="s">
        <v>141</v>
      </c>
      <c r="D5" s="210"/>
      <c r="E5" s="209"/>
      <c r="F5" s="209"/>
      <c r="G5" s="208"/>
    </row>
    <row r="6" spans="1:7" ht="15" thickBot="1" x14ac:dyDescent="0.35">
      <c r="A6" s="207" t="s">
        <v>156</v>
      </c>
      <c r="B6" s="206"/>
      <c r="C6" s="206"/>
      <c r="D6" s="206"/>
      <c r="E6" s="206"/>
      <c r="F6" s="206"/>
      <c r="G6" s="205"/>
    </row>
    <row r="7" spans="1:7" x14ac:dyDescent="0.3">
      <c r="A7" s="218" t="s">
        <v>155</v>
      </c>
      <c r="B7" s="225"/>
      <c r="C7" s="225"/>
      <c r="D7" s="193" t="s">
        <v>280</v>
      </c>
      <c r="E7" s="203"/>
      <c r="F7" s="202"/>
      <c r="G7" s="190">
        <f t="shared" ref="G7:G22" si="0">E7+F7</f>
        <v>0</v>
      </c>
    </row>
    <row r="8" spans="1:7" x14ac:dyDescent="0.3">
      <c r="A8" s="196" t="s">
        <v>154</v>
      </c>
      <c r="B8" s="222"/>
      <c r="C8" s="222"/>
      <c r="D8" s="193" t="s">
        <v>126</v>
      </c>
      <c r="E8" s="192"/>
      <c r="F8" s="191"/>
      <c r="G8" s="190">
        <f t="shared" si="0"/>
        <v>0</v>
      </c>
    </row>
    <row r="9" spans="1:7" x14ac:dyDescent="0.3">
      <c r="A9" s="196" t="s">
        <v>139</v>
      </c>
      <c r="B9" s="224"/>
      <c r="C9" s="224"/>
      <c r="D9" s="193"/>
      <c r="E9" s="217"/>
      <c r="F9" s="220"/>
      <c r="G9" s="190">
        <f t="shared" si="0"/>
        <v>0</v>
      </c>
    </row>
    <row r="10" spans="1:7" x14ac:dyDescent="0.3">
      <c r="A10" s="196" t="s">
        <v>139</v>
      </c>
      <c r="B10" s="222"/>
      <c r="C10" s="222"/>
      <c r="D10" s="193"/>
      <c r="E10" s="192"/>
      <c r="F10" s="191"/>
      <c r="G10" s="190">
        <f t="shared" si="0"/>
        <v>0</v>
      </c>
    </row>
    <row r="11" spans="1:7" x14ac:dyDescent="0.3">
      <c r="A11" s="218" t="s">
        <v>139</v>
      </c>
      <c r="B11" s="224"/>
      <c r="C11" s="224"/>
      <c r="D11" s="193"/>
      <c r="E11" s="217"/>
      <c r="F11" s="220"/>
      <c r="G11" s="190">
        <f t="shared" si="0"/>
        <v>0</v>
      </c>
    </row>
    <row r="12" spans="1:7" x14ac:dyDescent="0.3">
      <c r="A12" s="196" t="s">
        <v>139</v>
      </c>
      <c r="B12" s="222"/>
      <c r="C12" s="222"/>
      <c r="D12" s="193"/>
      <c r="E12" s="192"/>
      <c r="F12" s="191"/>
      <c r="G12" s="190">
        <f t="shared" si="0"/>
        <v>0</v>
      </c>
    </row>
    <row r="13" spans="1:7" x14ac:dyDescent="0.3">
      <c r="A13" s="218" t="s">
        <v>139</v>
      </c>
      <c r="B13" s="224"/>
      <c r="C13" s="224"/>
      <c r="D13" s="193"/>
      <c r="E13" s="217"/>
      <c r="F13" s="220"/>
      <c r="G13" s="190">
        <f t="shared" si="0"/>
        <v>0</v>
      </c>
    </row>
    <row r="14" spans="1:7" x14ac:dyDescent="0.3">
      <c r="A14" s="196" t="s">
        <v>139</v>
      </c>
      <c r="B14" s="222"/>
      <c r="C14" s="222"/>
      <c r="D14" s="193"/>
      <c r="E14" s="192"/>
      <c r="F14" s="191"/>
      <c r="G14" s="190">
        <f t="shared" si="0"/>
        <v>0</v>
      </c>
    </row>
    <row r="15" spans="1:7" x14ac:dyDescent="0.3">
      <c r="A15" s="201" t="s">
        <v>139</v>
      </c>
      <c r="B15" s="223"/>
      <c r="C15" s="223"/>
      <c r="D15" s="193"/>
      <c r="E15" s="198"/>
      <c r="F15" s="197"/>
      <c r="G15" s="190">
        <f t="shared" si="0"/>
        <v>0</v>
      </c>
    </row>
    <row r="16" spans="1:7" x14ac:dyDescent="0.3">
      <c r="A16" s="196" t="s">
        <v>139</v>
      </c>
      <c r="B16" s="222"/>
      <c r="C16" s="222"/>
      <c r="D16" s="193"/>
      <c r="E16" s="192"/>
      <c r="F16" s="191"/>
      <c r="G16" s="190">
        <f t="shared" si="0"/>
        <v>0</v>
      </c>
    </row>
    <row r="17" spans="1:7" x14ac:dyDescent="0.3">
      <c r="A17" s="201" t="s">
        <v>139</v>
      </c>
      <c r="B17" s="223"/>
      <c r="C17" s="223"/>
      <c r="D17" s="193"/>
      <c r="E17" s="198"/>
      <c r="F17" s="197"/>
      <c r="G17" s="190">
        <f t="shared" si="0"/>
        <v>0</v>
      </c>
    </row>
    <row r="18" spans="1:7" x14ac:dyDescent="0.3">
      <c r="A18" s="196" t="s">
        <v>139</v>
      </c>
      <c r="B18" s="222"/>
      <c r="C18" s="222"/>
      <c r="D18" s="193"/>
      <c r="E18" s="192"/>
      <c r="F18" s="191"/>
      <c r="G18" s="190">
        <f t="shared" si="0"/>
        <v>0</v>
      </c>
    </row>
    <row r="19" spans="1:7" x14ac:dyDescent="0.3">
      <c r="A19" s="201" t="s">
        <v>139</v>
      </c>
      <c r="B19" s="223"/>
      <c r="C19" s="223"/>
      <c r="D19" s="193"/>
      <c r="E19" s="198"/>
      <c r="F19" s="197"/>
      <c r="G19" s="190">
        <f t="shared" si="0"/>
        <v>0</v>
      </c>
    </row>
    <row r="20" spans="1:7" x14ac:dyDescent="0.3">
      <c r="A20" s="196" t="s">
        <v>139</v>
      </c>
      <c r="B20" s="222"/>
      <c r="C20" s="222"/>
      <c r="D20" s="193"/>
      <c r="E20" s="192"/>
      <c r="F20" s="191"/>
      <c r="G20" s="190">
        <f t="shared" si="0"/>
        <v>0</v>
      </c>
    </row>
    <row r="21" spans="1:7" x14ac:dyDescent="0.3">
      <c r="A21" s="201" t="s">
        <v>139</v>
      </c>
      <c r="B21" s="223"/>
      <c r="C21" s="223"/>
      <c r="D21" s="193"/>
      <c r="E21" s="198"/>
      <c r="F21" s="197"/>
      <c r="G21" s="190">
        <f t="shared" si="0"/>
        <v>0</v>
      </c>
    </row>
    <row r="22" spans="1:7" x14ac:dyDescent="0.3">
      <c r="A22" s="196" t="s">
        <v>139</v>
      </c>
      <c r="B22" s="222"/>
      <c r="C22" s="222"/>
      <c r="D22" s="193"/>
      <c r="E22" s="192"/>
      <c r="F22" s="191"/>
      <c r="G22" s="190">
        <f t="shared" si="0"/>
        <v>0</v>
      </c>
    </row>
    <row r="23" spans="1:7" ht="15" thickBot="1" x14ac:dyDescent="0.35">
      <c r="A23" s="189" t="s">
        <v>138</v>
      </c>
      <c r="B23" s="188"/>
      <c r="C23" s="188"/>
      <c r="D23" s="188"/>
      <c r="E23" s="188"/>
      <c r="F23" s="188"/>
      <c r="G23" s="187">
        <f ca="1">SUM(G7:OFFSET(G23,-1,0))</f>
        <v>0</v>
      </c>
    </row>
    <row r="24" spans="1:7" ht="25.5" customHeight="1" thickBot="1" x14ac:dyDescent="0.35">
      <c r="A24" s="212" t="s">
        <v>153</v>
      </c>
      <c r="B24" s="211" t="s">
        <v>141</v>
      </c>
      <c r="C24" s="211" t="s">
        <v>141</v>
      </c>
      <c r="D24" s="210"/>
      <c r="E24" s="209"/>
      <c r="F24" s="209"/>
      <c r="G24" s="208"/>
    </row>
    <row r="25" spans="1:7" ht="15" thickBot="1" x14ac:dyDescent="0.35">
      <c r="A25" s="710" t="s">
        <v>152</v>
      </c>
      <c r="B25" s="711"/>
      <c r="C25" s="711"/>
      <c r="D25" s="711"/>
      <c r="E25" s="711"/>
      <c r="F25" s="711"/>
      <c r="G25" s="712"/>
    </row>
    <row r="26" spans="1:7" x14ac:dyDescent="0.3">
      <c r="A26" s="218" t="s">
        <v>143</v>
      </c>
      <c r="B26" s="204"/>
      <c r="C26" s="204"/>
      <c r="D26" s="193" t="s">
        <v>284</v>
      </c>
      <c r="E26" s="203"/>
      <c r="F26" s="202"/>
      <c r="G26" s="219">
        <f t="shared" ref="G26:G41" si="1">E26+F26</f>
        <v>0</v>
      </c>
    </row>
    <row r="27" spans="1:7" x14ac:dyDescent="0.3">
      <c r="A27" s="196" t="s">
        <v>149</v>
      </c>
      <c r="B27" s="194"/>
      <c r="C27" s="194"/>
      <c r="D27" s="193" t="s">
        <v>281</v>
      </c>
      <c r="E27" s="192"/>
      <c r="F27" s="191"/>
      <c r="G27" s="219">
        <f t="shared" si="1"/>
        <v>0</v>
      </c>
    </row>
    <row r="28" spans="1:7" x14ac:dyDescent="0.3">
      <c r="A28" s="218" t="s">
        <v>151</v>
      </c>
      <c r="B28" s="221"/>
      <c r="C28" s="221"/>
      <c r="D28" s="193" t="s">
        <v>280</v>
      </c>
      <c r="E28" s="217"/>
      <c r="F28" s="220"/>
      <c r="G28" s="219">
        <f t="shared" si="1"/>
        <v>0</v>
      </c>
    </row>
    <row r="29" spans="1:7" x14ac:dyDescent="0.3">
      <c r="A29" s="218" t="s">
        <v>139</v>
      </c>
      <c r="B29" s="194"/>
      <c r="C29" s="194"/>
      <c r="D29" s="193"/>
      <c r="E29" s="192"/>
      <c r="F29" s="191"/>
      <c r="G29" s="219">
        <f t="shared" si="1"/>
        <v>0</v>
      </c>
    </row>
    <row r="30" spans="1:7" x14ac:dyDescent="0.3">
      <c r="A30" s="218" t="s">
        <v>139</v>
      </c>
      <c r="B30" s="221"/>
      <c r="C30" s="221"/>
      <c r="D30" s="193"/>
      <c r="E30" s="217"/>
      <c r="F30" s="220"/>
      <c r="G30" s="219">
        <f t="shared" si="1"/>
        <v>0</v>
      </c>
    </row>
    <row r="31" spans="1:7" x14ac:dyDescent="0.3">
      <c r="A31" s="196" t="s">
        <v>139</v>
      </c>
      <c r="B31" s="194"/>
      <c r="C31" s="194"/>
      <c r="D31" s="193"/>
      <c r="E31" s="192"/>
      <c r="F31" s="191"/>
      <c r="G31" s="219">
        <f t="shared" si="1"/>
        <v>0</v>
      </c>
    </row>
    <row r="32" spans="1:7" x14ac:dyDescent="0.3">
      <c r="A32" s="218" t="s">
        <v>139</v>
      </c>
      <c r="B32" s="221"/>
      <c r="C32" s="221"/>
      <c r="D32" s="193"/>
      <c r="E32" s="217"/>
      <c r="F32" s="220"/>
      <c r="G32" s="219">
        <f t="shared" si="1"/>
        <v>0</v>
      </c>
    </row>
    <row r="33" spans="1:7" x14ac:dyDescent="0.3">
      <c r="A33" s="196" t="s">
        <v>139</v>
      </c>
      <c r="B33" s="194"/>
      <c r="C33" s="194"/>
      <c r="D33" s="193"/>
      <c r="E33" s="192"/>
      <c r="F33" s="191"/>
      <c r="G33" s="190">
        <f t="shared" si="1"/>
        <v>0</v>
      </c>
    </row>
    <row r="34" spans="1:7" x14ac:dyDescent="0.3">
      <c r="A34" s="201" t="s">
        <v>139</v>
      </c>
      <c r="B34" s="199"/>
      <c r="C34" s="199"/>
      <c r="D34" s="193"/>
      <c r="E34" s="198"/>
      <c r="F34" s="197"/>
      <c r="G34" s="190">
        <f t="shared" si="1"/>
        <v>0</v>
      </c>
    </row>
    <row r="35" spans="1:7" x14ac:dyDescent="0.3">
      <c r="A35" s="196" t="s">
        <v>139</v>
      </c>
      <c r="B35" s="194"/>
      <c r="C35" s="194"/>
      <c r="D35" s="193"/>
      <c r="E35" s="192"/>
      <c r="F35" s="191"/>
      <c r="G35" s="190">
        <f t="shared" si="1"/>
        <v>0</v>
      </c>
    </row>
    <row r="36" spans="1:7" x14ac:dyDescent="0.3">
      <c r="A36" s="201" t="s">
        <v>139</v>
      </c>
      <c r="B36" s="199"/>
      <c r="C36" s="199"/>
      <c r="D36" s="193"/>
      <c r="E36" s="198"/>
      <c r="F36" s="197"/>
      <c r="G36" s="190">
        <f t="shared" si="1"/>
        <v>0</v>
      </c>
    </row>
    <row r="37" spans="1:7" x14ac:dyDescent="0.3">
      <c r="A37" s="196" t="s">
        <v>139</v>
      </c>
      <c r="B37" s="194"/>
      <c r="C37" s="194"/>
      <c r="D37" s="193"/>
      <c r="E37" s="192"/>
      <c r="F37" s="191"/>
      <c r="G37" s="190">
        <f t="shared" si="1"/>
        <v>0</v>
      </c>
    </row>
    <row r="38" spans="1:7" x14ac:dyDescent="0.3">
      <c r="A38" s="201" t="s">
        <v>139</v>
      </c>
      <c r="B38" s="199"/>
      <c r="C38" s="199"/>
      <c r="D38" s="193"/>
      <c r="E38" s="198"/>
      <c r="F38" s="197"/>
      <c r="G38" s="190">
        <f t="shared" si="1"/>
        <v>0</v>
      </c>
    </row>
    <row r="39" spans="1:7" x14ac:dyDescent="0.3">
      <c r="A39" s="196" t="s">
        <v>139</v>
      </c>
      <c r="B39" s="194"/>
      <c r="C39" s="194"/>
      <c r="D39" s="193"/>
      <c r="E39" s="192"/>
      <c r="F39" s="191"/>
      <c r="G39" s="190">
        <f t="shared" si="1"/>
        <v>0</v>
      </c>
    </row>
    <row r="40" spans="1:7" x14ac:dyDescent="0.3">
      <c r="A40" s="201" t="s">
        <v>139</v>
      </c>
      <c r="B40" s="199"/>
      <c r="C40" s="199"/>
      <c r="D40" s="193"/>
      <c r="E40" s="198"/>
      <c r="F40" s="197"/>
      <c r="G40" s="190">
        <f t="shared" si="1"/>
        <v>0</v>
      </c>
    </row>
    <row r="41" spans="1:7" x14ac:dyDescent="0.3">
      <c r="A41" s="196" t="s">
        <v>139</v>
      </c>
      <c r="B41" s="194"/>
      <c r="C41" s="194"/>
      <c r="D41" s="193"/>
      <c r="E41" s="192"/>
      <c r="F41" s="191"/>
      <c r="G41" s="190">
        <f t="shared" si="1"/>
        <v>0</v>
      </c>
    </row>
    <row r="42" spans="1:7" ht="15" thickBot="1" x14ac:dyDescent="0.35">
      <c r="A42" s="189" t="s">
        <v>138</v>
      </c>
      <c r="B42" s="188"/>
      <c r="C42" s="188"/>
      <c r="D42" s="188"/>
      <c r="E42" s="188"/>
      <c r="F42" s="188"/>
      <c r="G42" s="187">
        <f ca="1">SUM(G26:OFFSET(G42,-1,0))</f>
        <v>0</v>
      </c>
    </row>
    <row r="43" spans="1:7" ht="22.95" customHeight="1" thickBot="1" x14ac:dyDescent="0.35">
      <c r="A43" s="212" t="s">
        <v>150</v>
      </c>
      <c r="B43" s="211" t="s">
        <v>141</v>
      </c>
      <c r="C43" s="211" t="s">
        <v>141</v>
      </c>
      <c r="D43" s="210"/>
      <c r="E43" s="209"/>
      <c r="F43" s="209"/>
      <c r="G43" s="208"/>
    </row>
    <row r="44" spans="1:7" ht="15" thickBot="1" x14ac:dyDescent="0.35">
      <c r="A44" s="207" t="s">
        <v>144</v>
      </c>
      <c r="B44" s="206"/>
      <c r="C44" s="206"/>
      <c r="D44" s="206"/>
      <c r="E44" s="206"/>
      <c r="F44" s="206"/>
      <c r="G44" s="205"/>
    </row>
    <row r="45" spans="1:7" x14ac:dyDescent="0.3">
      <c r="A45" s="201" t="s">
        <v>143</v>
      </c>
      <c r="B45" s="204"/>
      <c r="C45" s="204"/>
      <c r="D45" s="193" t="s">
        <v>123</v>
      </c>
      <c r="E45" s="203"/>
      <c r="F45" s="202"/>
      <c r="G45" s="219">
        <f t="shared" ref="G45:G61" si="2">E45+F45</f>
        <v>0</v>
      </c>
    </row>
    <row r="46" spans="1:7" x14ac:dyDescent="0.3">
      <c r="A46" s="196" t="s">
        <v>149</v>
      </c>
      <c r="B46" s="195"/>
      <c r="C46" s="194"/>
      <c r="D46" s="193" t="s">
        <v>281</v>
      </c>
      <c r="E46" s="192"/>
      <c r="F46" s="191"/>
      <c r="G46" s="190">
        <f t="shared" si="2"/>
        <v>0</v>
      </c>
    </row>
    <row r="47" spans="1:7" x14ac:dyDescent="0.3">
      <c r="A47" s="201" t="s">
        <v>148</v>
      </c>
      <c r="B47" s="204"/>
      <c r="C47" s="204"/>
      <c r="D47" s="193" t="s">
        <v>125</v>
      </c>
      <c r="E47" s="198"/>
      <c r="F47" s="202"/>
      <c r="G47" s="190">
        <f t="shared" si="2"/>
        <v>0</v>
      </c>
    </row>
    <row r="48" spans="1:7" x14ac:dyDescent="0.3">
      <c r="A48" s="196" t="s">
        <v>147</v>
      </c>
      <c r="B48" s="195"/>
      <c r="C48" s="194"/>
      <c r="D48" s="193" t="s">
        <v>126</v>
      </c>
      <c r="E48" s="192"/>
      <c r="F48" s="191"/>
      <c r="G48" s="190">
        <f t="shared" si="2"/>
        <v>0</v>
      </c>
    </row>
    <row r="49" spans="1:7" x14ac:dyDescent="0.3">
      <c r="A49" s="196" t="s">
        <v>139</v>
      </c>
      <c r="B49" s="204"/>
      <c r="C49" s="204"/>
      <c r="D49" s="193"/>
      <c r="E49" s="198"/>
      <c r="F49" s="202"/>
      <c r="G49" s="190">
        <f t="shared" si="2"/>
        <v>0</v>
      </c>
    </row>
    <row r="50" spans="1:7" x14ac:dyDescent="0.3">
      <c r="A50" s="196" t="s">
        <v>139</v>
      </c>
      <c r="B50" s="195"/>
      <c r="C50" s="194"/>
      <c r="D50" s="193"/>
      <c r="E50" s="192"/>
      <c r="F50" s="191"/>
      <c r="G50" s="190">
        <f t="shared" si="2"/>
        <v>0</v>
      </c>
    </row>
    <row r="51" spans="1:7" x14ac:dyDescent="0.3">
      <c r="A51" s="201" t="s">
        <v>139</v>
      </c>
      <c r="B51" s="204"/>
      <c r="C51" s="204"/>
      <c r="D51" s="193"/>
      <c r="E51" s="198"/>
      <c r="F51" s="202"/>
      <c r="G51" s="190">
        <f t="shared" si="2"/>
        <v>0</v>
      </c>
    </row>
    <row r="52" spans="1:7" x14ac:dyDescent="0.3">
      <c r="A52" s="196" t="s">
        <v>139</v>
      </c>
      <c r="B52" s="195"/>
      <c r="C52" s="194"/>
      <c r="D52" s="193"/>
      <c r="E52" s="192"/>
      <c r="F52" s="191"/>
      <c r="G52" s="190">
        <f t="shared" si="2"/>
        <v>0</v>
      </c>
    </row>
    <row r="53" spans="1:7" x14ac:dyDescent="0.3">
      <c r="A53" s="201" t="s">
        <v>139</v>
      </c>
      <c r="B53" s="200"/>
      <c r="C53" s="199"/>
      <c r="D53" s="193"/>
      <c r="E53" s="198"/>
      <c r="F53" s="197"/>
      <c r="G53" s="190">
        <f t="shared" si="2"/>
        <v>0</v>
      </c>
    </row>
    <row r="54" spans="1:7" x14ac:dyDescent="0.3">
      <c r="A54" s="196" t="s">
        <v>139</v>
      </c>
      <c r="B54" s="195"/>
      <c r="C54" s="194"/>
      <c r="D54" s="193"/>
      <c r="E54" s="192"/>
      <c r="F54" s="191"/>
      <c r="G54" s="190">
        <f t="shared" si="2"/>
        <v>0</v>
      </c>
    </row>
    <row r="55" spans="1:7" x14ac:dyDescent="0.3">
      <c r="A55" s="201" t="s">
        <v>139</v>
      </c>
      <c r="B55" s="200"/>
      <c r="C55" s="199"/>
      <c r="D55" s="193"/>
      <c r="E55" s="198"/>
      <c r="F55" s="197"/>
      <c r="G55" s="190">
        <f t="shared" si="2"/>
        <v>0</v>
      </c>
    </row>
    <row r="56" spans="1:7" x14ac:dyDescent="0.3">
      <c r="A56" s="196" t="s">
        <v>139</v>
      </c>
      <c r="B56" s="195"/>
      <c r="C56" s="194"/>
      <c r="D56" s="193"/>
      <c r="E56" s="192"/>
      <c r="F56" s="191"/>
      <c r="G56" s="190">
        <f t="shared" si="2"/>
        <v>0</v>
      </c>
    </row>
    <row r="57" spans="1:7" x14ac:dyDescent="0.3">
      <c r="A57" s="201" t="s">
        <v>139</v>
      </c>
      <c r="B57" s="200"/>
      <c r="C57" s="199"/>
      <c r="D57" s="193"/>
      <c r="E57" s="198"/>
      <c r="F57" s="197"/>
      <c r="G57" s="190">
        <f t="shared" si="2"/>
        <v>0</v>
      </c>
    </row>
    <row r="58" spans="1:7" x14ac:dyDescent="0.3">
      <c r="A58" s="196" t="s">
        <v>139</v>
      </c>
      <c r="B58" s="195"/>
      <c r="C58" s="194"/>
      <c r="D58" s="193"/>
      <c r="E58" s="192"/>
      <c r="F58" s="191"/>
      <c r="G58" s="190">
        <f t="shared" si="2"/>
        <v>0</v>
      </c>
    </row>
    <row r="59" spans="1:7" x14ac:dyDescent="0.3">
      <c r="A59" s="201" t="s">
        <v>139</v>
      </c>
      <c r="B59" s="200"/>
      <c r="C59" s="199"/>
      <c r="D59" s="193"/>
      <c r="E59" s="198"/>
      <c r="F59" s="197"/>
      <c r="G59" s="190">
        <f t="shared" si="2"/>
        <v>0</v>
      </c>
    </row>
    <row r="60" spans="1:7" x14ac:dyDescent="0.3">
      <c r="A60" s="196" t="s">
        <v>139</v>
      </c>
      <c r="B60" s="195"/>
      <c r="C60" s="194"/>
      <c r="D60" s="193"/>
      <c r="E60" s="192"/>
      <c r="F60" s="191"/>
      <c r="G60" s="190">
        <f t="shared" si="2"/>
        <v>0</v>
      </c>
    </row>
    <row r="61" spans="1:7" x14ac:dyDescent="0.3">
      <c r="A61" s="218" t="s">
        <v>139</v>
      </c>
      <c r="B61" s="204"/>
      <c r="C61" s="204"/>
      <c r="D61" s="193"/>
      <c r="E61" s="217"/>
      <c r="F61" s="202"/>
      <c r="G61" s="190">
        <f t="shared" si="2"/>
        <v>0</v>
      </c>
    </row>
    <row r="62" spans="1:7" ht="15" thickBot="1" x14ac:dyDescent="0.35">
      <c r="A62" s="189" t="s">
        <v>138</v>
      </c>
      <c r="B62" s="188"/>
      <c r="C62" s="188"/>
      <c r="D62" s="188"/>
      <c r="E62" s="188"/>
      <c r="F62" s="188"/>
      <c r="G62" s="187">
        <f ca="1">SUM(G45:OFFSET(G62,-1,0))</f>
        <v>0</v>
      </c>
    </row>
    <row r="63" spans="1:7" ht="21.45" customHeight="1" thickBot="1" x14ac:dyDescent="0.35">
      <c r="A63" s="212" t="s">
        <v>146</v>
      </c>
      <c r="B63" s="211" t="s">
        <v>141</v>
      </c>
      <c r="C63" s="211" t="s">
        <v>141</v>
      </c>
      <c r="D63" s="210"/>
      <c r="E63" s="209"/>
      <c r="F63" s="209"/>
      <c r="G63" s="208"/>
    </row>
    <row r="64" spans="1:7" ht="15" thickBot="1" x14ac:dyDescent="0.35">
      <c r="A64" s="207" t="s">
        <v>144</v>
      </c>
      <c r="B64" s="206"/>
      <c r="C64" s="206"/>
      <c r="D64" s="206"/>
      <c r="E64" s="206"/>
      <c r="F64" s="206"/>
      <c r="G64" s="205"/>
    </row>
    <row r="65" spans="1:7" x14ac:dyDescent="0.3">
      <c r="A65" s="201" t="s">
        <v>143</v>
      </c>
      <c r="B65" s="204"/>
      <c r="C65" s="204"/>
      <c r="D65" s="193" t="s">
        <v>123</v>
      </c>
      <c r="E65" s="203"/>
      <c r="F65" s="202"/>
      <c r="G65" s="190">
        <f t="shared" ref="G65:G80" si="3">E65+F65</f>
        <v>0</v>
      </c>
    </row>
    <row r="66" spans="1:7" x14ac:dyDescent="0.3">
      <c r="A66" s="201" t="s">
        <v>139</v>
      </c>
      <c r="B66" s="195"/>
      <c r="C66" s="194"/>
      <c r="D66" s="193"/>
      <c r="E66" s="192"/>
      <c r="F66" s="191"/>
      <c r="G66" s="190">
        <f t="shared" si="3"/>
        <v>0</v>
      </c>
    </row>
    <row r="67" spans="1:7" x14ac:dyDescent="0.3">
      <c r="A67" s="201" t="s">
        <v>139</v>
      </c>
      <c r="B67" s="204"/>
      <c r="C67" s="204"/>
      <c r="D67" s="193"/>
      <c r="E67" s="198"/>
      <c r="F67" s="202"/>
      <c r="G67" s="190">
        <f t="shared" si="3"/>
        <v>0</v>
      </c>
    </row>
    <row r="68" spans="1:7" x14ac:dyDescent="0.3">
      <c r="A68" s="196" t="s">
        <v>139</v>
      </c>
      <c r="B68" s="195"/>
      <c r="C68" s="194"/>
      <c r="D68" s="193"/>
      <c r="E68" s="192"/>
      <c r="F68" s="191"/>
      <c r="G68" s="190">
        <f t="shared" si="3"/>
        <v>0</v>
      </c>
    </row>
    <row r="69" spans="1:7" x14ac:dyDescent="0.3">
      <c r="A69" s="201" t="s">
        <v>139</v>
      </c>
      <c r="B69" s="204"/>
      <c r="C69" s="204"/>
      <c r="D69" s="193"/>
      <c r="E69" s="198"/>
      <c r="F69" s="202"/>
      <c r="G69" s="190">
        <f t="shared" si="3"/>
        <v>0</v>
      </c>
    </row>
    <row r="70" spans="1:7" x14ac:dyDescent="0.3">
      <c r="A70" s="196" t="s">
        <v>139</v>
      </c>
      <c r="B70" s="195"/>
      <c r="C70" s="194"/>
      <c r="D70" s="193"/>
      <c r="E70" s="192"/>
      <c r="F70" s="191"/>
      <c r="G70" s="190">
        <f t="shared" si="3"/>
        <v>0</v>
      </c>
    </row>
    <row r="71" spans="1:7" x14ac:dyDescent="0.3">
      <c r="A71" s="201" t="s">
        <v>139</v>
      </c>
      <c r="B71" s="204"/>
      <c r="C71" s="204"/>
      <c r="D71" s="193"/>
      <c r="E71" s="198"/>
      <c r="F71" s="202"/>
      <c r="G71" s="190">
        <f t="shared" si="3"/>
        <v>0</v>
      </c>
    </row>
    <row r="72" spans="1:7" x14ac:dyDescent="0.3">
      <c r="A72" s="196" t="s">
        <v>139</v>
      </c>
      <c r="B72" s="195"/>
      <c r="C72" s="194"/>
      <c r="D72" s="193"/>
      <c r="E72" s="192"/>
      <c r="F72" s="191"/>
      <c r="G72" s="190">
        <f t="shared" si="3"/>
        <v>0</v>
      </c>
    </row>
    <row r="73" spans="1:7" x14ac:dyDescent="0.3">
      <c r="A73" s="201" t="s">
        <v>139</v>
      </c>
      <c r="B73" s="200"/>
      <c r="C73" s="199"/>
      <c r="D73" s="193"/>
      <c r="E73" s="198"/>
      <c r="F73" s="197"/>
      <c r="G73" s="190">
        <f t="shared" si="3"/>
        <v>0</v>
      </c>
    </row>
    <row r="74" spans="1:7" x14ac:dyDescent="0.3">
      <c r="A74" s="196" t="s">
        <v>139</v>
      </c>
      <c r="B74" s="195"/>
      <c r="C74" s="194"/>
      <c r="D74" s="193"/>
      <c r="E74" s="192"/>
      <c r="F74" s="191"/>
      <c r="G74" s="190">
        <f t="shared" si="3"/>
        <v>0</v>
      </c>
    </row>
    <row r="75" spans="1:7" x14ac:dyDescent="0.3">
      <c r="A75" s="201" t="s">
        <v>139</v>
      </c>
      <c r="B75" s="200"/>
      <c r="C75" s="199"/>
      <c r="D75" s="193"/>
      <c r="E75" s="198"/>
      <c r="F75" s="197"/>
      <c r="G75" s="190">
        <f t="shared" si="3"/>
        <v>0</v>
      </c>
    </row>
    <row r="76" spans="1:7" x14ac:dyDescent="0.3">
      <c r="A76" s="196" t="s">
        <v>139</v>
      </c>
      <c r="B76" s="195"/>
      <c r="C76" s="194"/>
      <c r="D76" s="193"/>
      <c r="E76" s="192"/>
      <c r="F76" s="191"/>
      <c r="G76" s="190">
        <f t="shared" si="3"/>
        <v>0</v>
      </c>
    </row>
    <row r="77" spans="1:7" x14ac:dyDescent="0.3">
      <c r="A77" s="201" t="s">
        <v>139</v>
      </c>
      <c r="B77" s="200"/>
      <c r="C77" s="199"/>
      <c r="D77" s="193"/>
      <c r="E77" s="198"/>
      <c r="F77" s="197"/>
      <c r="G77" s="190">
        <f t="shared" si="3"/>
        <v>0</v>
      </c>
    </row>
    <row r="78" spans="1:7" x14ac:dyDescent="0.3">
      <c r="A78" s="196" t="s">
        <v>139</v>
      </c>
      <c r="B78" s="195"/>
      <c r="C78" s="194"/>
      <c r="D78" s="193"/>
      <c r="E78" s="192"/>
      <c r="F78" s="191"/>
      <c r="G78" s="190">
        <f t="shared" si="3"/>
        <v>0</v>
      </c>
    </row>
    <row r="79" spans="1:7" x14ac:dyDescent="0.3">
      <c r="A79" s="201" t="s">
        <v>139</v>
      </c>
      <c r="B79" s="200"/>
      <c r="C79" s="199"/>
      <c r="D79" s="193"/>
      <c r="E79" s="198"/>
      <c r="F79" s="197"/>
      <c r="G79" s="190">
        <f t="shared" si="3"/>
        <v>0</v>
      </c>
    </row>
    <row r="80" spans="1:7" x14ac:dyDescent="0.3">
      <c r="A80" s="196" t="s">
        <v>139</v>
      </c>
      <c r="B80" s="195"/>
      <c r="C80" s="194"/>
      <c r="D80" s="193"/>
      <c r="E80" s="216"/>
      <c r="F80" s="215"/>
      <c r="G80" s="190">
        <f t="shared" si="3"/>
        <v>0</v>
      </c>
    </row>
    <row r="81" spans="1:7" ht="15" thickBot="1" x14ac:dyDescent="0.35">
      <c r="A81" s="189" t="s">
        <v>138</v>
      </c>
      <c r="B81" s="188"/>
      <c r="C81" s="188"/>
      <c r="D81" s="188"/>
      <c r="E81" s="188"/>
      <c r="F81" s="188"/>
      <c r="G81" s="214">
        <f ca="1">SUM(G64:OFFSET(G81,-1,0))</f>
        <v>0</v>
      </c>
    </row>
    <row r="82" spans="1:7" ht="22.2" customHeight="1" thickBot="1" x14ac:dyDescent="0.35">
      <c r="A82" s="212" t="s">
        <v>145</v>
      </c>
      <c r="B82" s="211" t="s">
        <v>141</v>
      </c>
      <c r="C82" s="211" t="s">
        <v>141</v>
      </c>
      <c r="D82" s="210"/>
      <c r="E82" s="213"/>
      <c r="F82" s="213"/>
      <c r="G82" s="208"/>
    </row>
    <row r="83" spans="1:7" ht="15" thickBot="1" x14ac:dyDescent="0.35">
      <c r="A83" s="207" t="s">
        <v>144</v>
      </c>
      <c r="B83" s="206"/>
      <c r="C83" s="206"/>
      <c r="D83" s="206"/>
      <c r="E83" s="206"/>
      <c r="F83" s="206"/>
      <c r="G83" s="205"/>
    </row>
    <row r="84" spans="1:7" x14ac:dyDescent="0.3">
      <c r="A84" s="201" t="s">
        <v>143</v>
      </c>
      <c r="B84" s="204"/>
      <c r="C84" s="204"/>
      <c r="D84" s="193" t="s">
        <v>123</v>
      </c>
      <c r="E84" s="203"/>
      <c r="F84" s="202"/>
      <c r="G84" s="190">
        <f t="shared" ref="G84:G99" si="4">E84+F84</f>
        <v>0</v>
      </c>
    </row>
    <row r="85" spans="1:7" x14ac:dyDescent="0.3">
      <c r="A85" s="201" t="s">
        <v>139</v>
      </c>
      <c r="B85" s="195"/>
      <c r="C85" s="194"/>
      <c r="D85" s="193"/>
      <c r="E85" s="192"/>
      <c r="F85" s="191"/>
      <c r="G85" s="190">
        <f t="shared" si="4"/>
        <v>0</v>
      </c>
    </row>
    <row r="86" spans="1:7" x14ac:dyDescent="0.3">
      <c r="A86" s="201" t="s">
        <v>139</v>
      </c>
      <c r="B86" s="200"/>
      <c r="C86" s="199"/>
      <c r="D86" s="193"/>
      <c r="E86" s="198"/>
      <c r="F86" s="197"/>
      <c r="G86" s="190">
        <f t="shared" si="4"/>
        <v>0</v>
      </c>
    </row>
    <row r="87" spans="1:7" x14ac:dyDescent="0.3">
      <c r="A87" s="196" t="s">
        <v>139</v>
      </c>
      <c r="B87" s="195"/>
      <c r="C87" s="194"/>
      <c r="D87" s="193"/>
      <c r="E87" s="192"/>
      <c r="F87" s="191"/>
      <c r="G87" s="190">
        <f t="shared" si="4"/>
        <v>0</v>
      </c>
    </row>
    <row r="88" spans="1:7" x14ac:dyDescent="0.3">
      <c r="A88" s="201" t="s">
        <v>139</v>
      </c>
      <c r="B88" s="200"/>
      <c r="C88" s="199"/>
      <c r="D88" s="193"/>
      <c r="E88" s="198"/>
      <c r="F88" s="197"/>
      <c r="G88" s="190">
        <f t="shared" si="4"/>
        <v>0</v>
      </c>
    </row>
    <row r="89" spans="1:7" x14ac:dyDescent="0.3">
      <c r="A89" s="196" t="s">
        <v>139</v>
      </c>
      <c r="B89" s="195"/>
      <c r="C89" s="194"/>
      <c r="D89" s="193"/>
      <c r="E89" s="192"/>
      <c r="F89" s="191"/>
      <c r="G89" s="190">
        <f t="shared" si="4"/>
        <v>0</v>
      </c>
    </row>
    <row r="90" spans="1:7" x14ac:dyDescent="0.3">
      <c r="A90" s="201" t="s">
        <v>139</v>
      </c>
      <c r="B90" s="200"/>
      <c r="C90" s="199"/>
      <c r="D90" s="193"/>
      <c r="E90" s="198"/>
      <c r="F90" s="197"/>
      <c r="G90" s="190">
        <f t="shared" si="4"/>
        <v>0</v>
      </c>
    </row>
    <row r="91" spans="1:7" x14ac:dyDescent="0.3">
      <c r="A91" s="196" t="s">
        <v>139</v>
      </c>
      <c r="B91" s="195"/>
      <c r="C91" s="194"/>
      <c r="D91" s="193"/>
      <c r="E91" s="192"/>
      <c r="F91" s="191"/>
      <c r="G91" s="190">
        <f t="shared" si="4"/>
        <v>0</v>
      </c>
    </row>
    <row r="92" spans="1:7" x14ac:dyDescent="0.3">
      <c r="A92" s="201" t="s">
        <v>139</v>
      </c>
      <c r="B92" s="200"/>
      <c r="C92" s="199"/>
      <c r="D92" s="193"/>
      <c r="E92" s="198"/>
      <c r="F92" s="197"/>
      <c r="G92" s="190">
        <f t="shared" si="4"/>
        <v>0</v>
      </c>
    </row>
    <row r="93" spans="1:7" x14ac:dyDescent="0.3">
      <c r="A93" s="196" t="s">
        <v>139</v>
      </c>
      <c r="B93" s="195"/>
      <c r="C93" s="194"/>
      <c r="D93" s="193"/>
      <c r="E93" s="192"/>
      <c r="F93" s="191"/>
      <c r="G93" s="190">
        <f t="shared" si="4"/>
        <v>0</v>
      </c>
    </row>
    <row r="94" spans="1:7" x14ac:dyDescent="0.3">
      <c r="A94" s="201" t="s">
        <v>139</v>
      </c>
      <c r="B94" s="200"/>
      <c r="C94" s="199"/>
      <c r="D94" s="193"/>
      <c r="E94" s="198"/>
      <c r="F94" s="197"/>
      <c r="G94" s="190">
        <f t="shared" si="4"/>
        <v>0</v>
      </c>
    </row>
    <row r="95" spans="1:7" x14ac:dyDescent="0.3">
      <c r="A95" s="196" t="s">
        <v>139</v>
      </c>
      <c r="B95" s="195"/>
      <c r="C95" s="194"/>
      <c r="D95" s="193"/>
      <c r="E95" s="192"/>
      <c r="F95" s="191"/>
      <c r="G95" s="190">
        <f t="shared" si="4"/>
        <v>0</v>
      </c>
    </row>
    <row r="96" spans="1:7" x14ac:dyDescent="0.3">
      <c r="A96" s="201" t="s">
        <v>139</v>
      </c>
      <c r="B96" s="200"/>
      <c r="C96" s="199"/>
      <c r="D96" s="193"/>
      <c r="E96" s="198"/>
      <c r="F96" s="197"/>
      <c r="G96" s="190">
        <f t="shared" si="4"/>
        <v>0</v>
      </c>
    </row>
    <row r="97" spans="1:7" x14ac:dyDescent="0.3">
      <c r="A97" s="196" t="s">
        <v>139</v>
      </c>
      <c r="B97" s="195"/>
      <c r="C97" s="194"/>
      <c r="D97" s="193"/>
      <c r="E97" s="192"/>
      <c r="F97" s="191"/>
      <c r="G97" s="190">
        <f t="shared" si="4"/>
        <v>0</v>
      </c>
    </row>
    <row r="98" spans="1:7" x14ac:dyDescent="0.3">
      <c r="A98" s="201" t="s">
        <v>139</v>
      </c>
      <c r="B98" s="200"/>
      <c r="C98" s="199"/>
      <c r="D98" s="193"/>
      <c r="E98" s="198"/>
      <c r="F98" s="197"/>
      <c r="G98" s="190">
        <f t="shared" si="4"/>
        <v>0</v>
      </c>
    </row>
    <row r="99" spans="1:7" x14ac:dyDescent="0.3">
      <c r="A99" s="196" t="s">
        <v>139</v>
      </c>
      <c r="B99" s="195"/>
      <c r="C99" s="194"/>
      <c r="D99" s="193"/>
      <c r="E99" s="192"/>
      <c r="F99" s="191"/>
      <c r="G99" s="190">
        <f t="shared" si="4"/>
        <v>0</v>
      </c>
    </row>
    <row r="100" spans="1:7" ht="15" thickBot="1" x14ac:dyDescent="0.35">
      <c r="A100" s="189" t="s">
        <v>138</v>
      </c>
      <c r="B100" s="188"/>
      <c r="C100" s="188"/>
      <c r="D100" s="188"/>
      <c r="E100" s="188"/>
      <c r="F100" s="188"/>
      <c r="G100" s="187">
        <f ca="1">SUM(G83:OFFSET(G100,-1,0))</f>
        <v>0</v>
      </c>
    </row>
    <row r="101" spans="1:7" ht="18.45" customHeight="1" thickBot="1" x14ac:dyDescent="0.35">
      <c r="A101" s="212" t="s">
        <v>142</v>
      </c>
      <c r="B101" s="211" t="s">
        <v>141</v>
      </c>
      <c r="C101" s="211" t="s">
        <v>141</v>
      </c>
      <c r="D101" s="210"/>
      <c r="E101" s="209"/>
      <c r="F101" s="209"/>
      <c r="G101" s="208"/>
    </row>
    <row r="102" spans="1:7" ht="15" thickBot="1" x14ac:dyDescent="0.35">
      <c r="A102" s="207" t="s">
        <v>140</v>
      </c>
      <c r="B102" s="206"/>
      <c r="C102" s="206"/>
      <c r="D102" s="206"/>
      <c r="E102" s="206"/>
      <c r="F102" s="206"/>
      <c r="G102" s="205"/>
    </row>
    <row r="103" spans="1:7" x14ac:dyDescent="0.3">
      <c r="A103" s="201" t="s">
        <v>295</v>
      </c>
      <c r="B103" s="204"/>
      <c r="C103" s="204"/>
      <c r="D103" s="193" t="s">
        <v>124</v>
      </c>
      <c r="E103" s="203"/>
      <c r="F103" s="202"/>
      <c r="G103" s="190">
        <f t="shared" ref="G103:G118" si="5">E103+F103</f>
        <v>0</v>
      </c>
    </row>
    <row r="104" spans="1:7" x14ac:dyDescent="0.3">
      <c r="A104" s="201" t="s">
        <v>139</v>
      </c>
      <c r="B104" s="195"/>
      <c r="C104" s="194"/>
      <c r="D104" s="193"/>
      <c r="E104" s="192"/>
      <c r="F104" s="191"/>
      <c r="G104" s="190">
        <f t="shared" si="5"/>
        <v>0</v>
      </c>
    </row>
    <row r="105" spans="1:7" x14ac:dyDescent="0.3">
      <c r="A105" s="201" t="s">
        <v>139</v>
      </c>
      <c r="B105" s="200"/>
      <c r="C105" s="199"/>
      <c r="D105" s="193"/>
      <c r="E105" s="198"/>
      <c r="F105" s="197"/>
      <c r="G105" s="190">
        <f t="shared" si="5"/>
        <v>0</v>
      </c>
    </row>
    <row r="106" spans="1:7" x14ac:dyDescent="0.3">
      <c r="A106" s="196" t="s">
        <v>139</v>
      </c>
      <c r="B106" s="195"/>
      <c r="C106" s="194"/>
      <c r="D106" s="193"/>
      <c r="E106" s="192"/>
      <c r="F106" s="191"/>
      <c r="G106" s="190">
        <f t="shared" si="5"/>
        <v>0</v>
      </c>
    </row>
    <row r="107" spans="1:7" x14ac:dyDescent="0.3">
      <c r="A107" s="201" t="s">
        <v>139</v>
      </c>
      <c r="B107" s="200"/>
      <c r="C107" s="199"/>
      <c r="D107" s="193"/>
      <c r="E107" s="198"/>
      <c r="F107" s="197"/>
      <c r="G107" s="190">
        <f t="shared" si="5"/>
        <v>0</v>
      </c>
    </row>
    <row r="108" spans="1:7" x14ac:dyDescent="0.3">
      <c r="A108" s="196" t="s">
        <v>139</v>
      </c>
      <c r="B108" s="195"/>
      <c r="C108" s="194"/>
      <c r="D108" s="193"/>
      <c r="E108" s="192"/>
      <c r="F108" s="191"/>
      <c r="G108" s="190">
        <f t="shared" si="5"/>
        <v>0</v>
      </c>
    </row>
    <row r="109" spans="1:7" x14ac:dyDescent="0.3">
      <c r="A109" s="201" t="s">
        <v>139</v>
      </c>
      <c r="B109" s="200"/>
      <c r="C109" s="199"/>
      <c r="D109" s="193"/>
      <c r="E109" s="198"/>
      <c r="F109" s="197"/>
      <c r="G109" s="190">
        <f t="shared" si="5"/>
        <v>0</v>
      </c>
    </row>
    <row r="110" spans="1:7" x14ac:dyDescent="0.3">
      <c r="A110" s="196" t="s">
        <v>139</v>
      </c>
      <c r="B110" s="195"/>
      <c r="C110" s="194"/>
      <c r="D110" s="193"/>
      <c r="E110" s="192"/>
      <c r="F110" s="191"/>
      <c r="G110" s="190">
        <f t="shared" si="5"/>
        <v>0</v>
      </c>
    </row>
    <row r="111" spans="1:7" x14ac:dyDescent="0.3">
      <c r="A111" s="201" t="s">
        <v>139</v>
      </c>
      <c r="B111" s="200"/>
      <c r="C111" s="199"/>
      <c r="D111" s="193"/>
      <c r="E111" s="198"/>
      <c r="F111" s="197"/>
      <c r="G111" s="190">
        <f t="shared" si="5"/>
        <v>0</v>
      </c>
    </row>
    <row r="112" spans="1:7" x14ac:dyDescent="0.3">
      <c r="A112" s="196" t="s">
        <v>139</v>
      </c>
      <c r="B112" s="195"/>
      <c r="C112" s="194"/>
      <c r="D112" s="193"/>
      <c r="E112" s="192"/>
      <c r="F112" s="191"/>
      <c r="G112" s="190">
        <f t="shared" si="5"/>
        <v>0</v>
      </c>
    </row>
    <row r="113" spans="1:7" x14ac:dyDescent="0.3">
      <c r="A113" s="201" t="s">
        <v>139</v>
      </c>
      <c r="B113" s="200"/>
      <c r="C113" s="199"/>
      <c r="D113" s="193"/>
      <c r="E113" s="198"/>
      <c r="F113" s="197"/>
      <c r="G113" s="190">
        <f t="shared" si="5"/>
        <v>0</v>
      </c>
    </row>
    <row r="114" spans="1:7" x14ac:dyDescent="0.3">
      <c r="A114" s="196" t="s">
        <v>139</v>
      </c>
      <c r="B114" s="195"/>
      <c r="C114" s="194"/>
      <c r="D114" s="193"/>
      <c r="E114" s="192"/>
      <c r="F114" s="191"/>
      <c r="G114" s="190">
        <f t="shared" si="5"/>
        <v>0</v>
      </c>
    </row>
    <row r="115" spans="1:7" x14ac:dyDescent="0.3">
      <c r="A115" s="201" t="s">
        <v>139</v>
      </c>
      <c r="B115" s="200"/>
      <c r="C115" s="199"/>
      <c r="D115" s="193"/>
      <c r="E115" s="198"/>
      <c r="F115" s="197"/>
      <c r="G115" s="190">
        <f t="shared" si="5"/>
        <v>0</v>
      </c>
    </row>
    <row r="116" spans="1:7" x14ac:dyDescent="0.3">
      <c r="A116" s="196" t="s">
        <v>139</v>
      </c>
      <c r="B116" s="195"/>
      <c r="C116" s="194"/>
      <c r="D116" s="193"/>
      <c r="E116" s="192"/>
      <c r="F116" s="191"/>
      <c r="G116" s="190">
        <f t="shared" si="5"/>
        <v>0</v>
      </c>
    </row>
    <row r="117" spans="1:7" x14ac:dyDescent="0.3">
      <c r="A117" s="201" t="s">
        <v>139</v>
      </c>
      <c r="B117" s="200"/>
      <c r="C117" s="199"/>
      <c r="D117" s="193"/>
      <c r="E117" s="198"/>
      <c r="F117" s="197"/>
      <c r="G117" s="190">
        <f t="shared" si="5"/>
        <v>0</v>
      </c>
    </row>
    <row r="118" spans="1:7" x14ac:dyDescent="0.3">
      <c r="A118" s="196" t="s">
        <v>139</v>
      </c>
      <c r="B118" s="195"/>
      <c r="C118" s="194"/>
      <c r="D118" s="193"/>
      <c r="E118" s="192"/>
      <c r="F118" s="191"/>
      <c r="G118" s="190">
        <f t="shared" si="5"/>
        <v>0</v>
      </c>
    </row>
    <row r="119" spans="1:7" ht="15" thickBot="1" x14ac:dyDescent="0.35">
      <c r="A119" s="189" t="s">
        <v>138</v>
      </c>
      <c r="B119" s="188"/>
      <c r="C119" s="188"/>
      <c r="D119" s="188"/>
      <c r="E119" s="188"/>
      <c r="F119" s="188"/>
      <c r="G119" s="187">
        <f ca="1">SUM(G102:OFFSET(G119,-1,0))</f>
        <v>0</v>
      </c>
    </row>
    <row r="120" spans="1:7" ht="15" thickBot="1" x14ac:dyDescent="0.35">
      <c r="A120" s="186" t="s">
        <v>137</v>
      </c>
      <c r="B120" s="185"/>
      <c r="C120" s="185"/>
      <c r="D120" s="184"/>
      <c r="E120" s="183">
        <f ca="1">ROUNDDOWN((SUM(E7:OFFSET(E120,-1,0))),-2)</f>
        <v>0</v>
      </c>
      <c r="F120" s="183">
        <f ca="1">ROUNDDOWN((SUM(F7:OFFSET(F120,-1,0))),-2)</f>
        <v>0</v>
      </c>
      <c r="G120" s="182">
        <f ca="1">E120+F120</f>
        <v>0</v>
      </c>
    </row>
    <row r="121" spans="1:7" ht="15" thickBot="1" x14ac:dyDescent="0.35">
      <c r="A121" s="181"/>
      <c r="B121" s="181"/>
      <c r="C121" s="181"/>
      <c r="D121" s="181"/>
      <c r="E121" s="180"/>
      <c r="F121" s="180"/>
      <c r="G121" s="180"/>
    </row>
    <row r="122" spans="1:7" ht="59.7" customHeight="1" thickBot="1" x14ac:dyDescent="0.35">
      <c r="B122" s="165"/>
      <c r="C122" s="165"/>
      <c r="D122" s="179" t="s">
        <v>405</v>
      </c>
      <c r="E122" s="178" t="s">
        <v>136</v>
      </c>
      <c r="F122" s="177"/>
      <c r="G122" s="176">
        <f ca="1">E120</f>
        <v>0</v>
      </c>
    </row>
    <row r="123" spans="1:7" x14ac:dyDescent="0.3">
      <c r="A123" s="165"/>
      <c r="B123" s="165"/>
      <c r="C123" s="175"/>
      <c r="D123" s="175"/>
      <c r="E123" s="175"/>
      <c r="F123" s="175"/>
      <c r="G123" s="175"/>
    </row>
    <row r="124" spans="1:7" x14ac:dyDescent="0.3">
      <c r="A124" s="174" t="s">
        <v>135</v>
      </c>
      <c r="B124" s="168"/>
      <c r="C124" s="168"/>
      <c r="D124" s="168"/>
      <c r="E124" s="168"/>
      <c r="F124" s="168"/>
      <c r="G124" s="167"/>
    </row>
    <row r="125" spans="1:7" ht="52.2" customHeight="1" x14ac:dyDescent="0.3">
      <c r="A125" s="713" t="s">
        <v>134</v>
      </c>
      <c r="B125" s="714"/>
      <c r="C125" s="714"/>
      <c r="D125" s="714"/>
      <c r="E125" s="714"/>
      <c r="F125" s="714"/>
      <c r="G125" s="715"/>
    </row>
    <row r="126" spans="1:7" x14ac:dyDescent="0.3">
      <c r="A126" s="173"/>
      <c r="B126" s="173"/>
      <c r="C126" s="173"/>
      <c r="D126" s="173"/>
      <c r="E126" s="172"/>
      <c r="F126" s="171"/>
      <c r="G126" s="170"/>
    </row>
    <row r="127" spans="1:7" x14ac:dyDescent="0.3">
      <c r="A127" s="169" t="s">
        <v>133</v>
      </c>
      <c r="B127" s="168"/>
      <c r="C127" s="168"/>
      <c r="D127" s="168"/>
      <c r="E127" s="168"/>
      <c r="F127" s="168"/>
      <c r="G127" s="167"/>
    </row>
    <row r="128" spans="1:7" ht="49.5" customHeight="1" x14ac:dyDescent="0.3">
      <c r="A128" s="713" t="s">
        <v>132</v>
      </c>
      <c r="B128" s="714"/>
      <c r="C128" s="714"/>
      <c r="D128" s="714"/>
      <c r="E128" s="714"/>
      <c r="F128" s="714"/>
      <c r="G128" s="715"/>
    </row>
    <row r="129" spans="1:3" ht="39" customHeight="1" x14ac:dyDescent="0.3"/>
    <row r="130" spans="1:3" ht="29.4" customHeight="1" x14ac:dyDescent="0.3">
      <c r="A130" s="165"/>
    </row>
    <row r="131" spans="1:3" ht="30.6" customHeight="1" x14ac:dyDescent="0.3">
      <c r="A131" s="165"/>
    </row>
    <row r="132" spans="1:3" ht="31.5" customHeight="1" x14ac:dyDescent="0.3">
      <c r="A132" s="165"/>
    </row>
    <row r="133" spans="1:3" ht="30.6" customHeight="1" x14ac:dyDescent="0.3">
      <c r="A133" s="165" t="s">
        <v>131</v>
      </c>
    </row>
    <row r="134" spans="1:3" ht="31.5" customHeight="1" x14ac:dyDescent="0.3">
      <c r="A134" s="165" t="s">
        <v>130</v>
      </c>
    </row>
    <row r="135" spans="1:3" ht="32.1" customHeight="1" x14ac:dyDescent="0.3">
      <c r="A135" s="165" t="s">
        <v>129</v>
      </c>
    </row>
    <row r="136" spans="1:3" ht="36.9" customHeight="1" x14ac:dyDescent="0.3">
      <c r="A136" s="165" t="s">
        <v>128</v>
      </c>
    </row>
    <row r="137" spans="1:3" ht="27.9" customHeight="1" x14ac:dyDescent="0.3">
      <c r="A137" s="166"/>
    </row>
    <row r="138" spans="1:3" ht="36.6" customHeight="1" x14ac:dyDescent="0.3">
      <c r="A138" s="166" t="s">
        <v>127</v>
      </c>
    </row>
    <row r="139" spans="1:3" ht="35.1" customHeight="1" x14ac:dyDescent="0.3">
      <c r="A139" s="165" t="s">
        <v>398</v>
      </c>
    </row>
    <row r="140" spans="1:3" ht="36.9" customHeight="1" x14ac:dyDescent="0.3">
      <c r="A140" s="165" t="s">
        <v>298</v>
      </c>
    </row>
    <row r="141" spans="1:3" ht="29.1" customHeight="1" x14ac:dyDescent="0.3">
      <c r="A141" s="165"/>
    </row>
    <row r="142" spans="1:3" ht="23.1" customHeight="1" x14ac:dyDescent="0.3">
      <c r="A142" s="350" t="s">
        <v>273</v>
      </c>
      <c r="C142" s="350"/>
    </row>
    <row r="143" spans="1:3" ht="24.9" customHeight="1" x14ac:dyDescent="0.3">
      <c r="A143" s="350" t="s">
        <v>126</v>
      </c>
      <c r="C143" s="350"/>
    </row>
    <row r="144" spans="1:3" ht="26.4" customHeight="1" x14ac:dyDescent="0.3">
      <c r="A144" s="350" t="s">
        <v>125</v>
      </c>
      <c r="C144" s="350"/>
    </row>
    <row r="145" spans="1:3" ht="27.9" customHeight="1" x14ac:dyDescent="0.3">
      <c r="A145" s="379" t="s">
        <v>278</v>
      </c>
      <c r="C145" s="379"/>
    </row>
    <row r="146" spans="1:3" ht="27.6" customHeight="1" x14ac:dyDescent="0.3">
      <c r="A146" s="379" t="s">
        <v>279</v>
      </c>
      <c r="C146" s="379"/>
    </row>
    <row r="147" spans="1:3" ht="27" customHeight="1" x14ac:dyDescent="0.3">
      <c r="A147" s="379" t="s">
        <v>280</v>
      </c>
      <c r="C147" s="379"/>
    </row>
    <row r="148" spans="1:3" ht="27.9" customHeight="1" x14ac:dyDescent="0.3">
      <c r="A148" s="379" t="s">
        <v>281</v>
      </c>
      <c r="C148" s="379"/>
    </row>
    <row r="149" spans="1:3" ht="27.9" customHeight="1" x14ac:dyDescent="0.3">
      <c r="A149" s="379" t="s">
        <v>282</v>
      </c>
      <c r="C149" s="379"/>
    </row>
    <row r="150" spans="1:3" ht="24" customHeight="1" x14ac:dyDescent="0.3">
      <c r="A150" s="379" t="s">
        <v>283</v>
      </c>
      <c r="C150" s="379"/>
    </row>
    <row r="151" spans="1:3" ht="24.9" customHeight="1" x14ac:dyDescent="0.3">
      <c r="A151" s="379" t="s">
        <v>284</v>
      </c>
      <c r="C151" s="379"/>
    </row>
    <row r="152" spans="1:3" ht="21.9" customHeight="1" x14ac:dyDescent="0.3">
      <c r="A152" s="379" t="s">
        <v>285</v>
      </c>
      <c r="C152" s="379"/>
    </row>
    <row r="153" spans="1:3" ht="29.4" customHeight="1" x14ac:dyDescent="0.3">
      <c r="A153" s="379" t="s">
        <v>286</v>
      </c>
      <c r="C153" s="379"/>
    </row>
    <row r="154" spans="1:3" ht="26.4" customHeight="1" x14ac:dyDescent="0.3">
      <c r="A154" s="165" t="s">
        <v>300</v>
      </c>
      <c r="C154" s="350"/>
    </row>
    <row r="155" spans="1:3" ht="21.6" customHeight="1" x14ac:dyDescent="0.3">
      <c r="A155" s="164"/>
    </row>
    <row r="156" spans="1:3" ht="31.5" customHeight="1" x14ac:dyDescent="0.3">
      <c r="A156" s="410"/>
    </row>
    <row r="157" spans="1:3" ht="29.1" customHeight="1" x14ac:dyDescent="0.3">
      <c r="A157" s="410"/>
    </row>
    <row r="158" spans="1:3" ht="42.6" customHeight="1" x14ac:dyDescent="0.3">
      <c r="A158" s="410"/>
    </row>
    <row r="159" spans="1:3" ht="39" customHeight="1" x14ac:dyDescent="0.3">
      <c r="A159" s="410"/>
    </row>
    <row r="160" spans="1:3" ht="30.6" customHeight="1" x14ac:dyDescent="0.3"/>
    <row r="161" ht="38.1" customHeight="1" x14ac:dyDescent="0.3"/>
  </sheetData>
  <mergeCells count="5">
    <mergeCell ref="B2:D2"/>
    <mergeCell ref="B3:D3"/>
    <mergeCell ref="A25:G25"/>
    <mergeCell ref="A125:G125"/>
    <mergeCell ref="A128:G128"/>
  </mergeCells>
  <dataValidations count="4">
    <dataValidation type="list" allowBlank="1" showInputMessage="1" showErrorMessage="1" sqref="G2" xr:uid="{00000000-0002-0000-0700-000000000000}">
      <formula1>$A$133:$A$136</formula1>
    </dataValidation>
    <dataValidation type="list" allowBlank="1" showInputMessage="1" showErrorMessage="1" sqref="G3" xr:uid="{00000000-0002-0000-0700-000001000000}">
      <formula1>$A$137:$A$140</formula1>
    </dataValidation>
    <dataValidation type="list" allowBlank="1" showInputMessage="1" showErrorMessage="1" sqref="D83 D64 D102" xr:uid="{00000000-0002-0000-0700-000002000000}">
      <formula1>$A$160:$A$164</formula1>
    </dataValidation>
    <dataValidation type="list" allowBlank="1" showInputMessage="1" showErrorMessage="1" sqref="D7:D22 D26:D41 D45:D61 D65:D80 D84:D99 D103:D118" xr:uid="{00000000-0002-0000-0700-000003000000}">
      <formula1>$A$142:$A$154</formula1>
    </dataValidation>
  </dataValida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FF0000"/>
  </sheetPr>
  <dimension ref="A1:I23"/>
  <sheetViews>
    <sheetView zoomScale="90" zoomScaleNormal="90" workbookViewId="0">
      <selection sqref="A1:H1"/>
    </sheetView>
  </sheetViews>
  <sheetFormatPr defaultColWidth="8.6640625" defaultRowHeight="14.4" x14ac:dyDescent="0.3"/>
  <cols>
    <col min="1" max="1" width="24.33203125" style="163" customWidth="1"/>
    <col min="2" max="4" width="8.6640625" style="163"/>
    <col min="5" max="6" width="26" style="163" customWidth="1"/>
    <col min="7" max="8" width="26.33203125" style="163" customWidth="1"/>
    <col min="9" max="9" width="64.6640625" style="163" bestFit="1" customWidth="1"/>
    <col min="10" max="11" width="15.6640625" style="163" customWidth="1"/>
    <col min="12" max="12" width="19.6640625" style="163" customWidth="1"/>
    <col min="13" max="16384" width="8.6640625" style="163"/>
  </cols>
  <sheetData>
    <row r="1" spans="1:9" ht="21" x14ac:dyDescent="0.3">
      <c r="A1" s="720" t="s">
        <v>264</v>
      </c>
      <c r="B1" s="720"/>
      <c r="C1" s="720"/>
      <c r="D1" s="720"/>
      <c r="E1" s="720"/>
      <c r="F1" s="720"/>
      <c r="G1" s="720"/>
      <c r="H1" s="720"/>
    </row>
    <row r="2" spans="1:9" ht="67.5" customHeight="1" x14ac:dyDescent="0.3">
      <c r="A2" s="724" t="s">
        <v>184</v>
      </c>
      <c r="B2" s="721" t="s">
        <v>183</v>
      </c>
      <c r="C2" s="721"/>
      <c r="D2" s="721"/>
      <c r="E2" s="265" t="s">
        <v>182</v>
      </c>
      <c r="F2" s="265" t="s">
        <v>181</v>
      </c>
      <c r="G2" s="265" t="s">
        <v>180</v>
      </c>
      <c r="H2" s="265" t="s">
        <v>179</v>
      </c>
    </row>
    <row r="3" spans="1:9" ht="97.2" customHeight="1" x14ac:dyDescent="0.3">
      <c r="A3" s="724"/>
      <c r="B3" s="722" t="s">
        <v>178</v>
      </c>
      <c r="C3" s="722"/>
      <c r="D3" s="722"/>
      <c r="E3" s="264" t="s">
        <v>177</v>
      </c>
      <c r="F3" s="264" t="s">
        <v>176</v>
      </c>
      <c r="G3" s="264" t="s">
        <v>175</v>
      </c>
      <c r="H3" s="264" t="s">
        <v>174</v>
      </c>
    </row>
    <row r="4" spans="1:9" ht="15.45" customHeight="1" x14ac:dyDescent="0.3">
      <c r="A4" s="262" t="s">
        <v>153</v>
      </c>
      <c r="B4" s="723"/>
      <c r="C4" s="723"/>
      <c r="D4" s="723"/>
      <c r="E4" s="261"/>
      <c r="F4" s="261"/>
      <c r="G4" s="260">
        <f>SUMIF(OperatingBudget!D26:D41,"(17) Rebates and Incentives",OperatingBudget!G26:G41)</f>
        <v>0</v>
      </c>
      <c r="H4" s="259">
        <f>(E4-F4)*B4-G4</f>
        <v>0</v>
      </c>
      <c r="I4" s="263"/>
    </row>
    <row r="5" spans="1:9" ht="15.6" x14ac:dyDescent="0.3">
      <c r="A5" s="262" t="s">
        <v>150</v>
      </c>
      <c r="B5" s="716"/>
      <c r="C5" s="716"/>
      <c r="D5" s="716"/>
      <c r="E5" s="261"/>
      <c r="F5" s="261"/>
      <c r="G5" s="260">
        <f>SUMIF(OperatingBudget!D45:D61,"(17) Rebates and Incentives",OperatingBudget!G45:G61)</f>
        <v>0</v>
      </c>
      <c r="H5" s="259">
        <f>(E5-F5)*B5-G5</f>
        <v>0</v>
      </c>
      <c r="I5" s="263"/>
    </row>
    <row r="6" spans="1:9" ht="15.6" x14ac:dyDescent="0.3">
      <c r="A6" s="262" t="s">
        <v>146</v>
      </c>
      <c r="B6" s="716"/>
      <c r="C6" s="716"/>
      <c r="D6" s="716"/>
      <c r="E6" s="261"/>
      <c r="F6" s="261"/>
      <c r="G6" s="260">
        <f>SUMIF(OperatingBudget!D65:D80,"(17) Rebates and Incentives",OperatingBudget!G65:G80)</f>
        <v>0</v>
      </c>
      <c r="H6" s="259">
        <f>(E6-F6)*B6-G6</f>
        <v>0</v>
      </c>
    </row>
    <row r="7" spans="1:9" ht="15.6" x14ac:dyDescent="0.3">
      <c r="A7" s="262" t="s">
        <v>145</v>
      </c>
      <c r="B7" s="716"/>
      <c r="C7" s="716"/>
      <c r="D7" s="716"/>
      <c r="E7" s="261"/>
      <c r="F7" s="261"/>
      <c r="G7" s="260">
        <f>SUMIF(OperatingBudget!D84:D99,"(17) Rebates and Incentives",OperatingBudget!G84:G99)</f>
        <v>0</v>
      </c>
      <c r="H7" s="259">
        <f>(E7-F7)*B7-G7</f>
        <v>0</v>
      </c>
    </row>
    <row r="8" spans="1:9" ht="15.6" x14ac:dyDescent="0.3">
      <c r="A8" s="258" t="s">
        <v>20</v>
      </c>
      <c r="B8" s="717">
        <f>SUM(B4:D7)</f>
        <v>0</v>
      </c>
      <c r="C8" s="718"/>
      <c r="D8" s="718"/>
      <c r="E8" s="257">
        <f>ROUNDDOWN(SUM(E4:E7),-2)</f>
        <v>0</v>
      </c>
      <c r="F8" s="257">
        <f>ROUNDDOWN(SUM(F4:F7),-2)</f>
        <v>0</v>
      </c>
      <c r="G8" s="257"/>
      <c r="H8" s="257">
        <f>ROUNDDOWN(SUM(H4:H7),-2)</f>
        <v>0</v>
      </c>
    </row>
    <row r="9" spans="1:9" x14ac:dyDescent="0.3">
      <c r="G9" s="566" t="s">
        <v>404</v>
      </c>
      <c r="H9" s="567"/>
    </row>
    <row r="10" spans="1:9" ht="15.6" x14ac:dyDescent="0.3">
      <c r="A10" s="256" t="s">
        <v>173</v>
      </c>
      <c r="B10" s="244"/>
      <c r="C10" s="244"/>
      <c r="D10" s="244"/>
      <c r="E10" s="244"/>
      <c r="F10" s="244"/>
      <c r="G10" s="244"/>
      <c r="H10" s="244"/>
    </row>
    <row r="11" spans="1:9" s="409" customFormat="1" x14ac:dyDescent="0.3">
      <c r="A11" s="407"/>
      <c r="B11" s="408"/>
      <c r="C11" s="408"/>
      <c r="D11" s="408"/>
      <c r="E11" s="408"/>
      <c r="F11" s="408"/>
      <c r="G11" s="408"/>
      <c r="H11" s="408"/>
    </row>
    <row r="12" spans="1:9" s="409" customFormat="1" x14ac:dyDescent="0.3">
      <c r="A12" s="408"/>
      <c r="B12" s="408"/>
      <c r="C12" s="408"/>
      <c r="D12" s="408"/>
      <c r="E12" s="408"/>
      <c r="F12" s="408"/>
      <c r="G12" s="408"/>
      <c r="H12" s="408"/>
    </row>
    <row r="13" spans="1:9" x14ac:dyDescent="0.3">
      <c r="A13" s="244"/>
      <c r="B13" s="244"/>
      <c r="C13" s="244"/>
      <c r="D13" s="244"/>
      <c r="E13" s="244"/>
      <c r="F13" s="244"/>
      <c r="G13" s="244"/>
      <c r="H13" s="244"/>
    </row>
    <row r="14" spans="1:9" ht="15.6" x14ac:dyDescent="0.3">
      <c r="A14" s="255" t="s">
        <v>172</v>
      </c>
      <c r="B14" s="254"/>
      <c r="C14" s="254"/>
      <c r="D14" s="254"/>
      <c r="E14" s="254"/>
      <c r="F14" s="254"/>
      <c r="G14" s="254"/>
      <c r="H14" s="254"/>
    </row>
    <row r="15" spans="1:9" s="251" customFormat="1" ht="15.6" x14ac:dyDescent="0.3">
      <c r="A15" s="253"/>
      <c r="C15" s="252" t="s">
        <v>29</v>
      </c>
    </row>
    <row r="16" spans="1:9" x14ac:dyDescent="0.3">
      <c r="A16" s="244" t="s">
        <v>171</v>
      </c>
      <c r="B16" s="243"/>
      <c r="C16" s="250"/>
    </row>
    <row r="17" spans="1:6" x14ac:dyDescent="0.3">
      <c r="A17" s="244" t="s">
        <v>131</v>
      </c>
      <c r="B17" s="243"/>
      <c r="C17" s="250"/>
    </row>
    <row r="18" spans="1:6" x14ac:dyDescent="0.3">
      <c r="A18" s="244" t="s">
        <v>170</v>
      </c>
      <c r="B18" s="243"/>
      <c r="C18" s="250"/>
      <c r="D18" s="719" t="s">
        <v>169</v>
      </c>
      <c r="E18" s="719"/>
      <c r="F18" s="249"/>
    </row>
    <row r="19" spans="1:6" x14ac:dyDescent="0.3">
      <c r="A19" s="248" t="s">
        <v>20</v>
      </c>
      <c r="B19" s="247"/>
      <c r="C19" s="246">
        <f>SUM(C16:C18)</f>
        <v>0</v>
      </c>
      <c r="D19" s="245"/>
      <c r="E19" s="245"/>
      <c r="F19" s="242"/>
    </row>
    <row r="21" spans="1:6" s="247" customFormat="1" x14ac:dyDescent="0.3"/>
    <row r="22" spans="1:6" s="247" customFormat="1" x14ac:dyDescent="0.3"/>
    <row r="23" spans="1:6" s="247" customFormat="1" x14ac:dyDescent="0.3"/>
  </sheetData>
  <mergeCells count="10">
    <mergeCell ref="B6:D6"/>
    <mergeCell ref="B7:D7"/>
    <mergeCell ref="B8:D8"/>
    <mergeCell ref="D18:E18"/>
    <mergeCell ref="A1:H1"/>
    <mergeCell ref="B2:D2"/>
    <mergeCell ref="B3:D3"/>
    <mergeCell ref="B4:D4"/>
    <mergeCell ref="A2:A3"/>
    <mergeCell ref="B5:D5"/>
  </mergeCells>
  <conditionalFormatting sqref="C19">
    <cfRule type="cellIs" dxfId="94" priority="1" operator="equal">
      <formula>1</formula>
    </cfRule>
  </conditionalFormatting>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DCD3DE967ED240A413E567AA850F8C" ma:contentTypeVersion="12" ma:contentTypeDescription="Create a new document." ma:contentTypeScope="" ma:versionID="18f260cfc33b8cd5ae50c2070b3761d4">
  <xsd:schema xmlns:xsd="http://www.w3.org/2001/XMLSchema" xmlns:xs="http://www.w3.org/2001/XMLSchema" xmlns:p="http://schemas.microsoft.com/office/2006/metadata/properties" xmlns:ns2="524e10e0-8845-4654-9274-1feb11285b70" xmlns:ns3="1f2435d1-e123-45e5-8037-c6a33e676418" targetNamespace="http://schemas.microsoft.com/office/2006/metadata/properties" ma:root="true" ma:fieldsID="56689b243fcc05e720eab5efa683c782" ns2:_="" ns3:_="">
    <xsd:import namespace="524e10e0-8845-4654-9274-1feb11285b70"/>
    <xsd:import namespace="1f2435d1-e123-45e5-8037-c6a33e6764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4e10e0-8845-4654-9274-1feb11285b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2435d1-e123-45e5-8037-c6a33e67641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c D A A B Q S w M E F A A C A A g A x L F z U K 6 P h t a n A A A A + A A A A B I A H A B D b 2 5 m a W c v U G F j a 2 F n Z S 5 4 b W w g o h g A K K A U A A A A A A A A A A A A A A A A A A A A A A A A A A A A h Y / R C o I w G I V f R X b v N s 1 Q 5 H c S 3 i Y E Q X Q 7 5 t K R z n C z + W 5 d 9 E i 9 Q k J Z 3 X V 5 D t + B 7 z x u d 8 i n r v W u c j C q 1 x k K M E W e 1 K K v l K 4 z N N q T n 6 C c w Y 6 L M 6 + l N 8 P a p J N R G W q s v a S E O O e w W + F + q E l I a U C O 5 X Y v G t l x X 2 l j u R Y S f V b V / x V i c H j J s B D H C V 7 H E c V R E g B Z a i i V / i L h b I w p k J 8 S i r G 1 4 y C Z 1 H 6 x A b J E I O 8 X 7 A l Q S w M E F A A C A A g A x L F z 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S x c 1 A o i k e 4 D g A A A B E A A A A T A B w A R m 9 y b X V s Y X M v U 2 V j d G l v b j E u b S C i G A A o o B Q A A A A A A A A A A A A A A A A A A A A A A A A A A A A r T k 0 u y c z P U w i G 0 I b W A F B L A Q I t A B Q A A g A I A M S x c 1 C u j 4 b W p w A A A P g A A A A S A A A A A A A A A A A A A A A A A A A A A A B D b 2 5 m a W c v U G F j a 2 F n Z S 5 4 b W x Q S w E C L Q A U A A I A C A D E s X N Q D 8 r p q 6 Q A A A D p A A A A E w A A A A A A A A A A A A A A A A D z A A A A W 0 N v b n R l b n R f V H l w Z X N d L n h t b F B L A Q I t A B Q A A g A I A M S x c 1 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S / D C C b V W + R 4 y t / k i D E S L B A A A A A A I A A A A A A A N m A A D A A A A A E A A A A I L S r / S C b G E 7 Y D a h G b 8 3 g k Q A A A A A B I A A A K A A A A A Q A A A A V / m i d f S c / 4 q o 7 J 2 J + u c 8 v 1 A A A A A w u W f k r o N b L H q b G m Z E p j 0 L m 5 o z K + H 7 x g T V n 6 Z c G t n R F a + A Z w C Q 1 Y 7 / E E v K M X h F o 8 c H e 0 Z W r h i 0 q h d s P Q A W 5 R q W l m U T x a B f h P j w C 3 T e f k H 9 p B Q A A A A x E Y P K U c S Q e m m w Y J G I Q h H F e 5 L r J g = = < / 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6F89E3-C28A-4E6B-B585-00EA23972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4e10e0-8845-4654-9274-1feb11285b70"/>
    <ds:schemaRef ds:uri="1f2435d1-e123-45e5-8037-c6a33e676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AC7D1D-C421-4CD8-BD40-49A258480002}">
  <ds:schemaRefs>
    <ds:schemaRef ds:uri="http://schemas.microsoft.com/DataMashup"/>
  </ds:schemaRefs>
</ds:datastoreItem>
</file>

<file path=customXml/itemProps3.xml><?xml version="1.0" encoding="utf-8"?>
<ds:datastoreItem xmlns:ds="http://schemas.openxmlformats.org/officeDocument/2006/customXml" ds:itemID="{1C636CFA-D190-4148-874E-04FB609CEA7C}">
  <ds:schemaRefs>
    <ds:schemaRef ds:uri="http://purl.org/dc/terms/"/>
    <ds:schemaRef ds:uri="http://schemas.microsoft.com/office/2006/documentManagement/types"/>
    <ds:schemaRef ds:uri="1f2435d1-e123-45e5-8037-c6a33e676418"/>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524e10e0-8845-4654-9274-1feb11285b70"/>
    <ds:schemaRef ds:uri="http://www.w3.org/XML/1998/namespace"/>
    <ds:schemaRef ds:uri="http://purl.org/dc/dcmitype/"/>
  </ds:schemaRefs>
</ds:datastoreItem>
</file>

<file path=customXml/itemProps4.xml><?xml version="1.0" encoding="utf-8"?>
<ds:datastoreItem xmlns:ds="http://schemas.openxmlformats.org/officeDocument/2006/customXml" ds:itemID="{6675BDEB-754C-4595-83EA-CF19EC7285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Instructions</vt:lpstr>
      <vt:lpstr>Eligible and Ineligible Costs</vt:lpstr>
      <vt:lpstr>Environmental Benefits</vt:lpstr>
      <vt:lpstr>Budget - Work Plan</vt:lpstr>
      <vt:lpstr> Sources of Funding </vt:lpstr>
      <vt:lpstr>MilestoneSummary</vt:lpstr>
      <vt:lpstr>Environmental Benefits - Post</vt:lpstr>
      <vt:lpstr>OperatingBudget</vt:lpstr>
      <vt:lpstr>CapitalBudget</vt:lpstr>
      <vt:lpstr>Payment &amp; reporting table</vt:lpstr>
      <vt:lpstr>Expense Claim</vt:lpstr>
      <vt:lpstr>Calculations</vt:lpstr>
      <vt:lpstr>Calculations2</vt:lpstr>
      <vt:lpstr>Data</vt:lpstr>
      <vt:lpstr>Fuel_Switch</vt:lpstr>
      <vt:lpstr>'Environmental Benefits'!Fuel_Switch_On</vt:lpstr>
      <vt:lpstr>Fuel_Switch_On</vt:lpstr>
      <vt:lpstr>GJ_to_kWh</vt:lpstr>
      <vt:lpstr>Calculations!Jurisdiction</vt:lpstr>
      <vt:lpstr>Calculations2!Jurisdiction</vt:lpstr>
      <vt:lpstr>'Environmental Benefits'!Jurisdiction</vt:lpstr>
      <vt:lpstr>Jurisdiction</vt:lpstr>
      <vt:lpstr>'Environmental Benefits'!Total_Homes</vt:lpstr>
      <vt:lpstr>Total_Homes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Luce Engérant</dc:creator>
  <cp:keywords/>
  <dc:description/>
  <cp:lastModifiedBy>Angela Stewart</cp:lastModifiedBy>
  <cp:revision/>
  <dcterms:created xsi:type="dcterms:W3CDTF">2020-03-17T23:30:45Z</dcterms:created>
  <dcterms:modified xsi:type="dcterms:W3CDTF">2021-10-05T15:37:08Z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0x0101003ADCD3DE967ED240A413E567AA850F8C</vt:lpwstr>
  </property>
  <property fmtid="{D5CDD505-2E9C-101B-9397-08002B2CF9AE}" pid="3" name="LINKTEK-CHUNK-1">
    <vt:lpwstr>010048{"F":5,"I":"AB4D-E307-11E4-21F0","M":"28a02bd2e60d087bf93743883c595911"}H4sIAAAAAAAEADXLUQuCMBiF4f+yq4L0UzJE76w0hLSBQhcRY+mypW6ymQTif0+irg6ch3dERy5qjfzLiGLkI8teW4YTOKGxCyPPCLeei1YIzwJguXdt2aAfVLESUtpzKWiDlawUbTVEL1FyUWVMDbxgGn5wSCLIWds1tJ/PoOsaXnxTO</vt:lpwstr>
  </property>
  <property fmtid="{D5CDD505-2E9C-101B-9397-08002B2CF9AE}" pid="4" name="LINKTEK-CHUNK-2">
    <vt:lpwstr>EtV36SsAWcY8gSTeclcPVnR/40MG9Mmi+C0D5ZRnBImKvPd6BZN1+kD9D21FbwAAAA=</vt:lpwstr>
  </property>
  <property fmtid="{D5CDD505-2E9C-101B-9397-08002B2CF9AE}" pid="5" name="Order">
    <vt:r8>100</vt:r8>
  </property>
</Properties>
</file>